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theme/themeOverride1.xml" ContentType="application/vnd.openxmlformats-officedocument.themeOverride+xml"/>
  <Override PartName="/xl/drawings/drawing7.xml" ContentType="application/vnd.openxmlformats-officedocument.drawingml.chartshapes+xml"/>
  <Override PartName="/xl/charts/chart20.xml" ContentType="application/vnd.openxmlformats-officedocument.drawingml.chart+xml"/>
  <Override PartName="/xl/drawings/drawing8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9.xml" ContentType="application/vnd.openxmlformats-officedocument.drawing+xml"/>
  <Override PartName="/xl/charts/chart23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2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date1904="1" codeName="DieseArbeitsmappe" autoCompressPictures="0"/>
  <bookViews>
    <workbookView xWindow="1100" yWindow="0" windowWidth="35620" windowHeight="20800" tabRatio="896"/>
  </bookViews>
  <sheets>
    <sheet name="Tipps" sheetId="3101" r:id="rId1"/>
    <sheet name="IN (mmol|L)" sheetId="4" r:id="rId2"/>
    <sheet name="I.17" sheetId="32" r:id="rId3"/>
    <sheet name="II.17" sheetId="33" r:id="rId4"/>
    <sheet name="III.17" sheetId="34" r:id="rId5"/>
    <sheet name="IV.17" sheetId="37" r:id="rId6"/>
    <sheet name="Zwischendurch" sheetId="29" r:id="rId7"/>
    <sheet name="hjt-pp" sheetId="3099" r:id="rId8"/>
    <sheet name="Langzeit-Verlauf" sheetId="28" r:id="rId9"/>
    <sheet name="Verteilung" sheetId="3096" r:id="rId10"/>
    <sheet name="Leerseite" sheetId="3097" r:id="rId11"/>
    <sheet name="(intern)" sheetId="41" r:id="rId12"/>
    <sheet name="(intern2)" sheetId="3098" r:id="rId13"/>
  </sheets>
  <definedNames>
    <definedName name="_xlnm._FilterDatabase" localSheetId="11" hidden="1">'(intern)'!$A$2:$BE$18</definedName>
    <definedName name="_xlnm._FilterDatabase" localSheetId="12" hidden="1">'(intern2)'!$A$2:$BE$17</definedName>
    <definedName name="_xlnm.Print_Area" localSheetId="2">I.17!$A$1:$M$93</definedName>
    <definedName name="_xlnm.Print_Area" localSheetId="3">II.17!$A$1:$M$97</definedName>
    <definedName name="_xlnm.Print_Area" localSheetId="4">III.17!$A$1:$P$97</definedName>
    <definedName name="_xlnm.Print_Area" localSheetId="1">'IN (mmol|L)'!$C$1:$V$104</definedName>
    <definedName name="_xlnm.Print_Area" localSheetId="5">IV.17!$A$1:$P$97</definedName>
    <definedName name="_xlnm.Print_Area" localSheetId="9">Verteilung!$A$1:$AN$42</definedName>
    <definedName name="_xlnm.Print_Area" localSheetId="6">Zwischendurch!$A$1:$Q$119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98" i="4" l="1"/>
  <c r="B4" i="41"/>
  <c r="C4" i="41"/>
  <c r="D4" i="41"/>
  <c r="E4" i="41"/>
  <c r="F4" i="41"/>
  <c r="B5" i="41"/>
  <c r="C5" i="41"/>
  <c r="D5" i="41"/>
  <c r="E5" i="41"/>
  <c r="F5" i="41"/>
  <c r="B6" i="41"/>
  <c r="C6" i="41"/>
  <c r="D6" i="41"/>
  <c r="E6" i="41"/>
  <c r="F6" i="41"/>
  <c r="B7" i="41"/>
  <c r="C7" i="41"/>
  <c r="D7" i="41"/>
  <c r="E7" i="41"/>
  <c r="F7" i="41"/>
  <c r="B8" i="41"/>
  <c r="C8" i="41"/>
  <c r="D8" i="41"/>
  <c r="E8" i="41"/>
  <c r="F8" i="41"/>
  <c r="B9" i="41"/>
  <c r="C9" i="41"/>
  <c r="D9" i="41"/>
  <c r="E9" i="41"/>
  <c r="F9" i="41"/>
  <c r="B10" i="41"/>
  <c r="C10" i="41"/>
  <c r="D10" i="41"/>
  <c r="E10" i="41"/>
  <c r="F10" i="41"/>
  <c r="B11" i="41"/>
  <c r="C11" i="41"/>
  <c r="D11" i="41"/>
  <c r="E11" i="41"/>
  <c r="F11" i="41"/>
  <c r="B12" i="41"/>
  <c r="C12" i="41"/>
  <c r="D12" i="41"/>
  <c r="E12" i="41"/>
  <c r="F12" i="41"/>
  <c r="S14" i="4"/>
  <c r="G4" i="41"/>
  <c r="H4" i="41"/>
  <c r="I4" i="41"/>
  <c r="J4" i="41"/>
  <c r="K4" i="41"/>
  <c r="L4" i="41"/>
  <c r="M4" i="41"/>
  <c r="N4" i="41"/>
  <c r="G5" i="41"/>
  <c r="H5" i="41"/>
  <c r="I5" i="41"/>
  <c r="J5" i="41"/>
  <c r="K5" i="41"/>
  <c r="L5" i="41"/>
  <c r="M5" i="41"/>
  <c r="N5" i="41"/>
  <c r="G6" i="41"/>
  <c r="H6" i="41"/>
  <c r="I6" i="41"/>
  <c r="J6" i="41"/>
  <c r="K6" i="41"/>
  <c r="L6" i="41"/>
  <c r="M6" i="41"/>
  <c r="N6" i="41"/>
  <c r="G7" i="41"/>
  <c r="H7" i="41"/>
  <c r="I7" i="41"/>
  <c r="J7" i="41"/>
  <c r="K7" i="41"/>
  <c r="L7" i="41"/>
  <c r="M7" i="41"/>
  <c r="N7" i="41"/>
  <c r="G8" i="41"/>
  <c r="H8" i="41"/>
  <c r="I8" i="41"/>
  <c r="J8" i="41"/>
  <c r="K8" i="41"/>
  <c r="L8" i="41"/>
  <c r="M8" i="41"/>
  <c r="N8" i="41"/>
  <c r="G9" i="41"/>
  <c r="H9" i="41"/>
  <c r="I9" i="41"/>
  <c r="J9" i="41"/>
  <c r="K9" i="41"/>
  <c r="L9" i="41"/>
  <c r="M9" i="41"/>
  <c r="N9" i="41"/>
  <c r="G10" i="41"/>
  <c r="H10" i="41"/>
  <c r="I10" i="41"/>
  <c r="J10" i="41"/>
  <c r="K10" i="41"/>
  <c r="L10" i="41"/>
  <c r="M10" i="41"/>
  <c r="N10" i="41"/>
  <c r="G11" i="41"/>
  <c r="H11" i="41"/>
  <c r="I11" i="41"/>
  <c r="J11" i="41"/>
  <c r="K11" i="41"/>
  <c r="L11" i="41"/>
  <c r="M11" i="41"/>
  <c r="N11" i="41"/>
  <c r="G12" i="41"/>
  <c r="H12" i="41"/>
  <c r="I12" i="41"/>
  <c r="J12" i="41"/>
  <c r="K12" i="41"/>
  <c r="L12" i="41"/>
  <c r="M12" i="41"/>
  <c r="N12" i="41"/>
  <c r="S13" i="4"/>
  <c r="V116" i="4"/>
  <c r="V92" i="4"/>
  <c r="V46" i="4"/>
  <c r="D112" i="4"/>
  <c r="BD89" i="41"/>
  <c r="BC89" i="41"/>
  <c r="BB89" i="41"/>
  <c r="BA89" i="41"/>
  <c r="AZ89" i="41"/>
  <c r="AY89" i="41"/>
  <c r="AX89" i="41"/>
  <c r="AW89" i="41"/>
  <c r="AV89" i="41"/>
  <c r="AU89" i="41"/>
  <c r="AT89" i="41"/>
  <c r="BD88" i="41"/>
  <c r="BC88" i="41"/>
  <c r="BB88" i="41"/>
  <c r="BA88" i="41"/>
  <c r="AZ88" i="41"/>
  <c r="AY88" i="41"/>
  <c r="AX88" i="41"/>
  <c r="AW88" i="41"/>
  <c r="AV88" i="41"/>
  <c r="AU88" i="41"/>
  <c r="AT88" i="41"/>
  <c r="BD87" i="41"/>
  <c r="BC87" i="41"/>
  <c r="BB87" i="41"/>
  <c r="BA87" i="41"/>
  <c r="AZ87" i="41"/>
  <c r="AY87" i="41"/>
  <c r="AX87" i="41"/>
  <c r="AW87" i="41"/>
  <c r="AV87" i="41"/>
  <c r="AU87" i="41"/>
  <c r="AT87" i="41"/>
  <c r="BD86" i="41"/>
  <c r="BC86" i="41"/>
  <c r="BB86" i="41"/>
  <c r="BA86" i="41"/>
  <c r="AZ86" i="41"/>
  <c r="AY86" i="41"/>
  <c r="AX86" i="41"/>
  <c r="AW86" i="41"/>
  <c r="AV86" i="41"/>
  <c r="AU86" i="41"/>
  <c r="AT86" i="41"/>
  <c r="BD85" i="41"/>
  <c r="BC85" i="41"/>
  <c r="BB85" i="41"/>
  <c r="BA85" i="41"/>
  <c r="AZ85" i="41"/>
  <c r="AY85" i="41"/>
  <c r="AX85" i="41"/>
  <c r="AW85" i="41"/>
  <c r="AV85" i="41"/>
  <c r="AU85" i="41"/>
  <c r="AT85" i="41"/>
  <c r="BD84" i="41"/>
  <c r="BC84" i="41"/>
  <c r="BB84" i="41"/>
  <c r="BA84" i="41"/>
  <c r="AZ84" i="41"/>
  <c r="AY84" i="41"/>
  <c r="AX84" i="41"/>
  <c r="AW84" i="41"/>
  <c r="AV84" i="41"/>
  <c r="AU84" i="41"/>
  <c r="AT84" i="41"/>
  <c r="BD83" i="41"/>
  <c r="BC83" i="41"/>
  <c r="BB83" i="41"/>
  <c r="BA83" i="41"/>
  <c r="AZ83" i="41"/>
  <c r="AY83" i="41"/>
  <c r="AX83" i="41"/>
  <c r="AW83" i="41"/>
  <c r="AV83" i="41"/>
  <c r="AU83" i="41"/>
  <c r="AT83" i="41"/>
  <c r="BD82" i="41"/>
  <c r="BC82" i="41"/>
  <c r="BB82" i="41"/>
  <c r="BA82" i="41"/>
  <c r="AZ82" i="41"/>
  <c r="AY82" i="41"/>
  <c r="AX82" i="41"/>
  <c r="AW82" i="41"/>
  <c r="AV82" i="41"/>
  <c r="AU82" i="41"/>
  <c r="AT82" i="41"/>
  <c r="AT81" i="41"/>
  <c r="AU81" i="41"/>
  <c r="AV81" i="41"/>
  <c r="AW81" i="41"/>
  <c r="AX81" i="41"/>
  <c r="AY81" i="41"/>
  <c r="AZ81" i="41"/>
  <c r="BA81" i="41"/>
  <c r="BB81" i="41"/>
  <c r="BC81" i="41"/>
  <c r="BD81" i="41"/>
  <c r="BR89" i="41"/>
  <c r="BQ89" i="41"/>
  <c r="BP89" i="41"/>
  <c r="BO89" i="41"/>
  <c r="BN89" i="41"/>
  <c r="BM89" i="41"/>
  <c r="BL89" i="41"/>
  <c r="BK89" i="41"/>
  <c r="BJ89" i="41"/>
  <c r="BI89" i="41"/>
  <c r="BH89" i="41"/>
  <c r="BR88" i="41"/>
  <c r="BQ88" i="41"/>
  <c r="BP88" i="41"/>
  <c r="BO88" i="41"/>
  <c r="BN88" i="41"/>
  <c r="BM88" i="41"/>
  <c r="BL88" i="41"/>
  <c r="BK88" i="41"/>
  <c r="BJ88" i="41"/>
  <c r="BI88" i="41"/>
  <c r="BH88" i="41"/>
  <c r="BR87" i="41"/>
  <c r="BQ87" i="41"/>
  <c r="BP87" i="41"/>
  <c r="BO87" i="41"/>
  <c r="BN87" i="41"/>
  <c r="BM87" i="41"/>
  <c r="BL87" i="41"/>
  <c r="BK87" i="41"/>
  <c r="BJ87" i="41"/>
  <c r="BI87" i="41"/>
  <c r="BH87" i="41"/>
  <c r="BR85" i="41"/>
  <c r="BQ85" i="41"/>
  <c r="BP85" i="41"/>
  <c r="BO85" i="41"/>
  <c r="BN85" i="41"/>
  <c r="BM85" i="41"/>
  <c r="BL85" i="41"/>
  <c r="BK85" i="41"/>
  <c r="BJ85" i="41"/>
  <c r="BI85" i="41"/>
  <c r="BH85" i="41"/>
  <c r="BR83" i="41"/>
  <c r="BQ83" i="41"/>
  <c r="BP83" i="41"/>
  <c r="BO83" i="41"/>
  <c r="BN83" i="41"/>
  <c r="BM83" i="41"/>
  <c r="BL83" i="41"/>
  <c r="BK83" i="41"/>
  <c r="BJ83" i="41"/>
  <c r="BI83" i="41"/>
  <c r="BH83" i="41"/>
  <c r="BH81" i="41"/>
  <c r="BI81" i="41"/>
  <c r="BJ81" i="41"/>
  <c r="BK81" i="41"/>
  <c r="BL81" i="41"/>
  <c r="BM81" i="41"/>
  <c r="BN81" i="41"/>
  <c r="BO81" i="41"/>
  <c r="BP81" i="41"/>
  <c r="BQ81" i="41"/>
  <c r="BR81" i="41"/>
  <c r="I66" i="3098"/>
  <c r="I124" i="3098"/>
  <c r="I67" i="3098"/>
  <c r="I125" i="3098"/>
  <c r="I68" i="3098"/>
  <c r="I126" i="3098"/>
  <c r="I69" i="3098"/>
  <c r="I127" i="3098"/>
  <c r="I70" i="3098"/>
  <c r="I128" i="3098"/>
  <c r="I71" i="3098"/>
  <c r="I129" i="3098"/>
  <c r="I72" i="3098"/>
  <c r="I130" i="3098"/>
  <c r="I73" i="3098"/>
  <c r="I131" i="3098"/>
  <c r="J66" i="3098"/>
  <c r="J124" i="3098"/>
  <c r="J67" i="3098"/>
  <c r="J125" i="3098"/>
  <c r="J68" i="3098"/>
  <c r="J126" i="3098"/>
  <c r="J69" i="3098"/>
  <c r="J127" i="3098"/>
  <c r="J70" i="3098"/>
  <c r="J128" i="3098"/>
  <c r="J71" i="3098"/>
  <c r="J129" i="3098"/>
  <c r="J72" i="3098"/>
  <c r="J130" i="3098"/>
  <c r="J73" i="3098"/>
  <c r="J131" i="3098"/>
  <c r="K66" i="3098"/>
  <c r="K124" i="3098"/>
  <c r="K68" i="3098"/>
  <c r="K126" i="3098"/>
  <c r="K69" i="3098"/>
  <c r="K127" i="3098"/>
  <c r="K70" i="3098"/>
  <c r="K128" i="3098"/>
  <c r="K71" i="3098"/>
  <c r="K129" i="3098"/>
  <c r="K72" i="3098"/>
  <c r="K130" i="3098"/>
  <c r="K73" i="3098"/>
  <c r="K131" i="3098"/>
  <c r="K74" i="3098"/>
  <c r="K132" i="3098"/>
  <c r="L66" i="3098"/>
  <c r="L124" i="3098"/>
  <c r="L67" i="3098"/>
  <c r="L125" i="3098"/>
  <c r="L68" i="3098"/>
  <c r="L126" i="3098"/>
  <c r="L69" i="3098"/>
  <c r="L127" i="3098"/>
  <c r="L70" i="3098"/>
  <c r="L128" i="3098"/>
  <c r="L71" i="3098"/>
  <c r="L129" i="3098"/>
  <c r="L72" i="3098"/>
  <c r="L130" i="3098"/>
  <c r="L73" i="3098"/>
  <c r="L131" i="3098"/>
  <c r="L74" i="3098"/>
  <c r="L132" i="3098"/>
  <c r="M66" i="3098"/>
  <c r="M124" i="3098"/>
  <c r="M67" i="3098"/>
  <c r="M125" i="3098"/>
  <c r="M68" i="3098"/>
  <c r="M126" i="3098"/>
  <c r="M69" i="3098"/>
  <c r="M127" i="3098"/>
  <c r="M70" i="3098"/>
  <c r="M128" i="3098"/>
  <c r="M71" i="3098"/>
  <c r="M129" i="3098"/>
  <c r="M72" i="3098"/>
  <c r="M130" i="3098"/>
  <c r="M73" i="3098"/>
  <c r="M131" i="3098"/>
  <c r="N66" i="3098"/>
  <c r="N124" i="3098"/>
  <c r="N67" i="3098"/>
  <c r="N125" i="3098"/>
  <c r="N68" i="3098"/>
  <c r="N126" i="3098"/>
  <c r="N69" i="3098"/>
  <c r="N127" i="3098"/>
  <c r="N70" i="3098"/>
  <c r="N128" i="3098"/>
  <c r="N71" i="3098"/>
  <c r="N129" i="3098"/>
  <c r="O66" i="3098"/>
  <c r="O124" i="3098"/>
  <c r="O70" i="3098"/>
  <c r="O128" i="3098"/>
  <c r="O71" i="3098"/>
  <c r="O129" i="3098"/>
  <c r="O72" i="3098"/>
  <c r="O130" i="3098"/>
  <c r="O73" i="3098"/>
  <c r="O131" i="3098"/>
  <c r="O74" i="3098"/>
  <c r="O132" i="3098"/>
  <c r="P66" i="3098"/>
  <c r="P124" i="3098"/>
  <c r="P67" i="3098"/>
  <c r="P125" i="3098"/>
  <c r="P68" i="3098"/>
  <c r="P126" i="3098"/>
  <c r="P69" i="3098"/>
  <c r="P127" i="3098"/>
  <c r="P70" i="3098"/>
  <c r="P128" i="3098"/>
  <c r="P71" i="3098"/>
  <c r="P129" i="3098"/>
  <c r="P72" i="3098"/>
  <c r="P130" i="3098"/>
  <c r="P73" i="3098"/>
  <c r="P131" i="3098"/>
  <c r="P74" i="3098"/>
  <c r="P132" i="3098"/>
  <c r="BB135" i="3098"/>
  <c r="BB124" i="3098"/>
  <c r="BB125" i="3098"/>
  <c r="BB126" i="3098"/>
  <c r="BB127" i="3098"/>
  <c r="BB128" i="3098"/>
  <c r="BB129" i="3098"/>
  <c r="BB130" i="3098"/>
  <c r="BB131" i="3098"/>
  <c r="BB132" i="3098"/>
  <c r="BB134" i="3098"/>
  <c r="AN137" i="3098"/>
  <c r="AM137" i="3098"/>
  <c r="AL137" i="3098"/>
  <c r="AK137" i="3098"/>
  <c r="AJ137" i="3098"/>
  <c r="AI137" i="3098"/>
  <c r="AH137" i="3098"/>
  <c r="AG137" i="3098"/>
  <c r="AD142" i="3098"/>
  <c r="AF142" i="3098"/>
  <c r="AH142" i="3098"/>
  <c r="AJ142" i="3098"/>
  <c r="AL142" i="3098"/>
  <c r="AO137" i="3098"/>
  <c r="AN142" i="3098"/>
  <c r="AP137" i="3098"/>
  <c r="AQ137" i="3098"/>
  <c r="AP142" i="3098"/>
  <c r="AR137" i="3098"/>
  <c r="AS137" i="3098"/>
  <c r="AR142" i="3098"/>
  <c r="AT137" i="3098"/>
  <c r="AU137" i="3098"/>
  <c r="AT142" i="3098"/>
  <c r="AV137" i="3098"/>
  <c r="AW137" i="3098"/>
  <c r="AV142" i="3098"/>
  <c r="AX142" i="3098"/>
  <c r="AG200" i="3098"/>
  <c r="B66" i="3098"/>
  <c r="B124" i="3098"/>
  <c r="C66" i="3098"/>
  <c r="C124" i="3098"/>
  <c r="D66" i="3098"/>
  <c r="D124" i="3098"/>
  <c r="E66" i="3098"/>
  <c r="E124" i="3098"/>
  <c r="F66" i="3098"/>
  <c r="F124" i="3098"/>
  <c r="G66" i="3098"/>
  <c r="G124" i="3098"/>
  <c r="H66" i="3098"/>
  <c r="H124" i="3098"/>
  <c r="B67" i="3098"/>
  <c r="B125" i="3098"/>
  <c r="C67" i="3098"/>
  <c r="C125" i="3098"/>
  <c r="D67" i="3098"/>
  <c r="D125" i="3098"/>
  <c r="E67" i="3098"/>
  <c r="E125" i="3098"/>
  <c r="F67" i="3098"/>
  <c r="F125" i="3098"/>
  <c r="G67" i="3098"/>
  <c r="G125" i="3098"/>
  <c r="H67" i="3098"/>
  <c r="H125" i="3098"/>
  <c r="B68" i="3098"/>
  <c r="B126" i="3098"/>
  <c r="C68" i="3098"/>
  <c r="C126" i="3098"/>
  <c r="D68" i="3098"/>
  <c r="D126" i="3098"/>
  <c r="E68" i="3098"/>
  <c r="E126" i="3098"/>
  <c r="F68" i="3098"/>
  <c r="F126" i="3098"/>
  <c r="G68" i="3098"/>
  <c r="G126" i="3098"/>
  <c r="H68" i="3098"/>
  <c r="H126" i="3098"/>
  <c r="B69" i="3098"/>
  <c r="B127" i="3098"/>
  <c r="C69" i="3098"/>
  <c r="C127" i="3098"/>
  <c r="D69" i="3098"/>
  <c r="D127" i="3098"/>
  <c r="E69" i="3098"/>
  <c r="E127" i="3098"/>
  <c r="F69" i="3098"/>
  <c r="F127" i="3098"/>
  <c r="G69" i="3098"/>
  <c r="G127" i="3098"/>
  <c r="H69" i="3098"/>
  <c r="H127" i="3098"/>
  <c r="B70" i="3098"/>
  <c r="B128" i="3098"/>
  <c r="C70" i="3098"/>
  <c r="C128" i="3098"/>
  <c r="D70" i="3098"/>
  <c r="D128" i="3098"/>
  <c r="E70" i="3098"/>
  <c r="E128" i="3098"/>
  <c r="F70" i="3098"/>
  <c r="F128" i="3098"/>
  <c r="G70" i="3098"/>
  <c r="G128" i="3098"/>
  <c r="H70" i="3098"/>
  <c r="H128" i="3098"/>
  <c r="B71" i="3098"/>
  <c r="B129" i="3098"/>
  <c r="C71" i="3098"/>
  <c r="C129" i="3098"/>
  <c r="D71" i="3098"/>
  <c r="D129" i="3098"/>
  <c r="E71" i="3098"/>
  <c r="E129" i="3098"/>
  <c r="F71" i="3098"/>
  <c r="F129" i="3098"/>
  <c r="G71" i="3098"/>
  <c r="G129" i="3098"/>
  <c r="H71" i="3098"/>
  <c r="H129" i="3098"/>
  <c r="B72" i="3098"/>
  <c r="B130" i="3098"/>
  <c r="C72" i="3098"/>
  <c r="C130" i="3098"/>
  <c r="D72" i="3098"/>
  <c r="D130" i="3098"/>
  <c r="E72" i="3098"/>
  <c r="E130" i="3098"/>
  <c r="F72" i="3098"/>
  <c r="F130" i="3098"/>
  <c r="G72" i="3098"/>
  <c r="G130" i="3098"/>
  <c r="H72" i="3098"/>
  <c r="H130" i="3098"/>
  <c r="B73" i="3098"/>
  <c r="B131" i="3098"/>
  <c r="C73" i="3098"/>
  <c r="C131" i="3098"/>
  <c r="D73" i="3098"/>
  <c r="D131" i="3098"/>
  <c r="E73" i="3098"/>
  <c r="E131" i="3098"/>
  <c r="F73" i="3098"/>
  <c r="F131" i="3098"/>
  <c r="G73" i="3098"/>
  <c r="G131" i="3098"/>
  <c r="H73" i="3098"/>
  <c r="H131" i="3098"/>
  <c r="B74" i="3098"/>
  <c r="B132" i="3098"/>
  <c r="C74" i="3098"/>
  <c r="C132" i="3098"/>
  <c r="D74" i="3098"/>
  <c r="D132" i="3098"/>
  <c r="E74" i="3098"/>
  <c r="E132" i="3098"/>
  <c r="F74" i="3098"/>
  <c r="F132" i="3098"/>
  <c r="G74" i="3098"/>
  <c r="G132" i="3098"/>
  <c r="H74" i="3098"/>
  <c r="H132" i="3098"/>
  <c r="AF137" i="3098"/>
  <c r="AE137" i="3098"/>
  <c r="AD137" i="3098"/>
  <c r="AD139" i="3098"/>
  <c r="AF141" i="3098"/>
  <c r="AE148" i="3098"/>
  <c r="L87" i="3098"/>
  <c r="K87" i="3098"/>
  <c r="J87" i="3098"/>
  <c r="I87" i="3098"/>
  <c r="H87" i="3098"/>
  <c r="G87" i="3098"/>
  <c r="F87" i="3098"/>
  <c r="E87" i="3098"/>
  <c r="D87" i="3098"/>
  <c r="C87" i="3098"/>
  <c r="B87" i="3098"/>
  <c r="M87" i="3098"/>
  <c r="L86" i="3098"/>
  <c r="K86" i="3098"/>
  <c r="J86" i="3098"/>
  <c r="I86" i="3098"/>
  <c r="H86" i="3098"/>
  <c r="G86" i="3098"/>
  <c r="F86" i="3098"/>
  <c r="E86" i="3098"/>
  <c r="D86" i="3098"/>
  <c r="C86" i="3098"/>
  <c r="B86" i="3098"/>
  <c r="M86" i="3098"/>
  <c r="L85" i="3098"/>
  <c r="K85" i="3098"/>
  <c r="J85" i="3098"/>
  <c r="I85" i="3098"/>
  <c r="H85" i="3098"/>
  <c r="G85" i="3098"/>
  <c r="F85" i="3098"/>
  <c r="E85" i="3098"/>
  <c r="D85" i="3098"/>
  <c r="C85" i="3098"/>
  <c r="B85" i="3098"/>
  <c r="M85" i="3098"/>
  <c r="L84" i="3098"/>
  <c r="K84" i="3098"/>
  <c r="J84" i="3098"/>
  <c r="I84" i="3098"/>
  <c r="H84" i="3098"/>
  <c r="G84" i="3098"/>
  <c r="F84" i="3098"/>
  <c r="E84" i="3098"/>
  <c r="D84" i="3098"/>
  <c r="C84" i="3098"/>
  <c r="B84" i="3098"/>
  <c r="M84" i="3098"/>
  <c r="L83" i="3098"/>
  <c r="K83" i="3098"/>
  <c r="J83" i="3098"/>
  <c r="I83" i="3098"/>
  <c r="H83" i="3098"/>
  <c r="G83" i="3098"/>
  <c r="F83" i="3098"/>
  <c r="E83" i="3098"/>
  <c r="D83" i="3098"/>
  <c r="C83" i="3098"/>
  <c r="B83" i="3098"/>
  <c r="M83" i="3098"/>
  <c r="L82" i="3098"/>
  <c r="K82" i="3098"/>
  <c r="J82" i="3098"/>
  <c r="I82" i="3098"/>
  <c r="H82" i="3098"/>
  <c r="G82" i="3098"/>
  <c r="F82" i="3098"/>
  <c r="E82" i="3098"/>
  <c r="D82" i="3098"/>
  <c r="C82" i="3098"/>
  <c r="B82" i="3098"/>
  <c r="M82" i="3098"/>
  <c r="L81" i="3098"/>
  <c r="K81" i="3098"/>
  <c r="J81" i="3098"/>
  <c r="I81" i="3098"/>
  <c r="H81" i="3098"/>
  <c r="G81" i="3098"/>
  <c r="F81" i="3098"/>
  <c r="E81" i="3098"/>
  <c r="D81" i="3098"/>
  <c r="C81" i="3098"/>
  <c r="B81" i="3098"/>
  <c r="M81" i="3098"/>
  <c r="L80" i="3098"/>
  <c r="K80" i="3098"/>
  <c r="J80" i="3098"/>
  <c r="I80" i="3098"/>
  <c r="H80" i="3098"/>
  <c r="G80" i="3098"/>
  <c r="F80" i="3098"/>
  <c r="E80" i="3098"/>
  <c r="D80" i="3098"/>
  <c r="C80" i="3098"/>
  <c r="B80" i="3098"/>
  <c r="M80" i="3098"/>
  <c r="L79" i="3098"/>
  <c r="K79" i="3098"/>
  <c r="J79" i="3098"/>
  <c r="I79" i="3098"/>
  <c r="H79" i="3098"/>
  <c r="G79" i="3098"/>
  <c r="F79" i="3098"/>
  <c r="E79" i="3098"/>
  <c r="D79" i="3098"/>
  <c r="C79" i="3098"/>
  <c r="B79" i="3098"/>
  <c r="M79" i="3098"/>
  <c r="B75" i="41"/>
  <c r="C75" i="41"/>
  <c r="D75" i="41"/>
  <c r="E75" i="41"/>
  <c r="F75" i="41"/>
  <c r="G75" i="41"/>
  <c r="H75" i="41"/>
  <c r="K75" i="41"/>
  <c r="L75" i="41"/>
  <c r="O75" i="41"/>
  <c r="P75" i="41"/>
  <c r="L88" i="41"/>
  <c r="K88" i="41"/>
  <c r="J88" i="41"/>
  <c r="I88" i="41"/>
  <c r="H88" i="41"/>
  <c r="G88" i="41"/>
  <c r="F88" i="41"/>
  <c r="E88" i="41"/>
  <c r="D88" i="41"/>
  <c r="C88" i="41"/>
  <c r="B88" i="41"/>
  <c r="M88" i="41"/>
  <c r="B69" i="41"/>
  <c r="C69" i="41"/>
  <c r="D69" i="41"/>
  <c r="E69" i="41"/>
  <c r="F69" i="41"/>
  <c r="G69" i="41"/>
  <c r="H69" i="41"/>
  <c r="I69" i="41"/>
  <c r="J69" i="41"/>
  <c r="K69" i="41"/>
  <c r="L69" i="41"/>
  <c r="M69" i="41"/>
  <c r="N69" i="41"/>
  <c r="P69" i="41"/>
  <c r="L82" i="41"/>
  <c r="K82" i="41"/>
  <c r="J82" i="41"/>
  <c r="I82" i="41"/>
  <c r="H82" i="41"/>
  <c r="G82" i="41"/>
  <c r="F82" i="41"/>
  <c r="E82" i="41"/>
  <c r="D82" i="41"/>
  <c r="C82" i="41"/>
  <c r="B82" i="41"/>
  <c r="M82" i="41"/>
  <c r="B70" i="41"/>
  <c r="C70" i="41"/>
  <c r="D70" i="41"/>
  <c r="E70" i="41"/>
  <c r="F70" i="41"/>
  <c r="G70" i="41"/>
  <c r="H70" i="41"/>
  <c r="I70" i="41"/>
  <c r="J70" i="41"/>
  <c r="K70" i="41"/>
  <c r="L70" i="41"/>
  <c r="M70" i="41"/>
  <c r="N70" i="41"/>
  <c r="P70" i="41"/>
  <c r="L83" i="41"/>
  <c r="K83" i="41"/>
  <c r="J83" i="41"/>
  <c r="I83" i="41"/>
  <c r="H83" i="41"/>
  <c r="G83" i="41"/>
  <c r="F83" i="41"/>
  <c r="E83" i="41"/>
  <c r="D83" i="41"/>
  <c r="C83" i="41"/>
  <c r="B83" i="41"/>
  <c r="M83" i="41"/>
  <c r="B71" i="41"/>
  <c r="C71" i="41"/>
  <c r="D71" i="41"/>
  <c r="E71" i="41"/>
  <c r="F71" i="41"/>
  <c r="G71" i="41"/>
  <c r="H71" i="41"/>
  <c r="I71" i="41"/>
  <c r="J71" i="41"/>
  <c r="K71" i="41"/>
  <c r="L71" i="41"/>
  <c r="M71" i="41"/>
  <c r="N71" i="41"/>
  <c r="O71" i="41"/>
  <c r="P71" i="41"/>
  <c r="L84" i="41"/>
  <c r="K84" i="41"/>
  <c r="J84" i="41"/>
  <c r="I84" i="41"/>
  <c r="H84" i="41"/>
  <c r="G84" i="41"/>
  <c r="F84" i="41"/>
  <c r="E84" i="41"/>
  <c r="D84" i="41"/>
  <c r="C84" i="41"/>
  <c r="B84" i="41"/>
  <c r="M84" i="41"/>
  <c r="B72" i="41"/>
  <c r="C72" i="41"/>
  <c r="D72" i="41"/>
  <c r="E72" i="41"/>
  <c r="F72" i="41"/>
  <c r="G72" i="41"/>
  <c r="H72" i="41"/>
  <c r="I72" i="41"/>
  <c r="J72" i="41"/>
  <c r="K72" i="41"/>
  <c r="L72" i="41"/>
  <c r="M72" i="41"/>
  <c r="N72" i="41"/>
  <c r="O72" i="41"/>
  <c r="P72" i="41"/>
  <c r="L85" i="41"/>
  <c r="K85" i="41"/>
  <c r="J85" i="41"/>
  <c r="I85" i="41"/>
  <c r="H85" i="41"/>
  <c r="G85" i="41"/>
  <c r="F85" i="41"/>
  <c r="E85" i="41"/>
  <c r="D85" i="41"/>
  <c r="C85" i="41"/>
  <c r="B85" i="41"/>
  <c r="M85" i="41"/>
  <c r="B73" i="41"/>
  <c r="C73" i="41"/>
  <c r="D73" i="41"/>
  <c r="E73" i="41"/>
  <c r="F73" i="41"/>
  <c r="G73" i="41"/>
  <c r="H73" i="41"/>
  <c r="I73" i="41"/>
  <c r="J73" i="41"/>
  <c r="K73" i="41"/>
  <c r="L73" i="41"/>
  <c r="M73" i="41"/>
  <c r="O73" i="41"/>
  <c r="P73" i="41"/>
  <c r="L86" i="41"/>
  <c r="K86" i="41"/>
  <c r="J86" i="41"/>
  <c r="I86" i="41"/>
  <c r="H86" i="41"/>
  <c r="G86" i="41"/>
  <c r="F86" i="41"/>
  <c r="E86" i="41"/>
  <c r="D86" i="41"/>
  <c r="C86" i="41"/>
  <c r="B86" i="41"/>
  <c r="M86" i="41"/>
  <c r="B74" i="41"/>
  <c r="C74" i="41"/>
  <c r="D74" i="41"/>
  <c r="E74" i="41"/>
  <c r="F74" i="41"/>
  <c r="G74" i="41"/>
  <c r="H74" i="41"/>
  <c r="I74" i="41"/>
  <c r="J74" i="41"/>
  <c r="K74" i="41"/>
  <c r="L74" i="41"/>
  <c r="M74" i="41"/>
  <c r="O74" i="41"/>
  <c r="P74" i="41"/>
  <c r="L87" i="41"/>
  <c r="K87" i="41"/>
  <c r="J87" i="41"/>
  <c r="I87" i="41"/>
  <c r="H87" i="41"/>
  <c r="G87" i="41"/>
  <c r="F87" i="41"/>
  <c r="E87" i="41"/>
  <c r="D87" i="41"/>
  <c r="C87" i="41"/>
  <c r="B87" i="41"/>
  <c r="M87" i="41"/>
  <c r="B68" i="41"/>
  <c r="C68" i="41"/>
  <c r="D68" i="41"/>
  <c r="E68" i="41"/>
  <c r="F68" i="41"/>
  <c r="G68" i="41"/>
  <c r="H68" i="41"/>
  <c r="I68" i="41"/>
  <c r="J68" i="41"/>
  <c r="L68" i="41"/>
  <c r="M68" i="41"/>
  <c r="N68" i="41"/>
  <c r="P68" i="41"/>
  <c r="L81" i="41"/>
  <c r="K81" i="41"/>
  <c r="J81" i="41"/>
  <c r="I81" i="41"/>
  <c r="H81" i="41"/>
  <c r="G81" i="41"/>
  <c r="F81" i="41"/>
  <c r="E81" i="41"/>
  <c r="D81" i="41"/>
  <c r="C81" i="41"/>
  <c r="B81" i="41"/>
  <c r="M81" i="41"/>
  <c r="B67" i="41"/>
  <c r="C67" i="41"/>
  <c r="D67" i="41"/>
  <c r="E67" i="41"/>
  <c r="F67" i="41"/>
  <c r="G67" i="41"/>
  <c r="H67" i="41"/>
  <c r="I67" i="41"/>
  <c r="J67" i="41"/>
  <c r="K67" i="41"/>
  <c r="L67" i="41"/>
  <c r="M67" i="41"/>
  <c r="N67" i="41"/>
  <c r="O67" i="41"/>
  <c r="P67" i="41"/>
  <c r="L80" i="41"/>
  <c r="K80" i="41"/>
  <c r="J80" i="41"/>
  <c r="I80" i="41"/>
  <c r="H80" i="41"/>
  <c r="G80" i="41"/>
  <c r="F80" i="41"/>
  <c r="E80" i="41"/>
  <c r="D80" i="41"/>
  <c r="C80" i="41"/>
  <c r="B80" i="41"/>
  <c r="M80" i="41"/>
  <c r="R4" i="4"/>
  <c r="R5" i="4"/>
  <c r="R6" i="4"/>
  <c r="R7" i="4"/>
  <c r="R8" i="4"/>
  <c r="R9" i="4"/>
  <c r="R10" i="4"/>
  <c r="R11" i="4"/>
  <c r="R12" i="4"/>
  <c r="B20" i="41"/>
  <c r="C20" i="41"/>
  <c r="D20" i="41"/>
  <c r="E20" i="41"/>
  <c r="F20" i="41"/>
  <c r="G20" i="41"/>
  <c r="H20" i="41"/>
  <c r="I20" i="41"/>
  <c r="J20" i="41"/>
  <c r="K20" i="41"/>
  <c r="O4" i="41"/>
  <c r="P4" i="41"/>
  <c r="Q4" i="41"/>
  <c r="R4" i="41"/>
  <c r="S4" i="41"/>
  <c r="T4" i="41"/>
  <c r="U4" i="41"/>
  <c r="V4" i="41"/>
  <c r="W4" i="41"/>
  <c r="X4" i="41"/>
  <c r="Y4" i="41"/>
  <c r="Z4" i="41"/>
  <c r="AA4" i="41"/>
  <c r="O5" i="41"/>
  <c r="P5" i="41"/>
  <c r="Q5" i="41"/>
  <c r="R5" i="41"/>
  <c r="S5" i="41"/>
  <c r="T5" i="41"/>
  <c r="U5" i="41"/>
  <c r="V5" i="41"/>
  <c r="W5" i="41"/>
  <c r="X5" i="41"/>
  <c r="Y5" i="41"/>
  <c r="Z5" i="41"/>
  <c r="AA5" i="41"/>
  <c r="O6" i="41"/>
  <c r="P6" i="41"/>
  <c r="Q6" i="41"/>
  <c r="R6" i="41"/>
  <c r="S6" i="41"/>
  <c r="T6" i="41"/>
  <c r="U6" i="41"/>
  <c r="V6" i="41"/>
  <c r="W6" i="41"/>
  <c r="X6" i="41"/>
  <c r="Y6" i="41"/>
  <c r="Z6" i="41"/>
  <c r="AA6" i="41"/>
  <c r="O7" i="41"/>
  <c r="P7" i="41"/>
  <c r="Q7" i="41"/>
  <c r="R7" i="41"/>
  <c r="S7" i="41"/>
  <c r="T7" i="41"/>
  <c r="U7" i="41"/>
  <c r="V7" i="41"/>
  <c r="W7" i="41"/>
  <c r="X7" i="41"/>
  <c r="Y7" i="41"/>
  <c r="Z7" i="41"/>
  <c r="AA7" i="41"/>
  <c r="O8" i="41"/>
  <c r="P8" i="41"/>
  <c r="Q8" i="41"/>
  <c r="R8" i="41"/>
  <c r="S8" i="41"/>
  <c r="T8" i="41"/>
  <c r="U8" i="41"/>
  <c r="V8" i="41"/>
  <c r="W8" i="41"/>
  <c r="X8" i="41"/>
  <c r="Y8" i="41"/>
  <c r="Z8" i="41"/>
  <c r="AA8" i="41"/>
  <c r="O9" i="41"/>
  <c r="P9" i="41"/>
  <c r="Q9" i="41"/>
  <c r="R9" i="41"/>
  <c r="S9" i="41"/>
  <c r="T9" i="41"/>
  <c r="U9" i="41"/>
  <c r="V9" i="41"/>
  <c r="W9" i="41"/>
  <c r="X9" i="41"/>
  <c r="Y9" i="41"/>
  <c r="Z9" i="41"/>
  <c r="AA9" i="41"/>
  <c r="O10" i="41"/>
  <c r="P10" i="41"/>
  <c r="Q10" i="41"/>
  <c r="R10" i="41"/>
  <c r="S10" i="41"/>
  <c r="T10" i="41"/>
  <c r="U10" i="41"/>
  <c r="V10" i="41"/>
  <c r="W10" i="41"/>
  <c r="X10" i="41"/>
  <c r="Y10" i="41"/>
  <c r="Z10" i="41"/>
  <c r="AA10" i="41"/>
  <c r="O11" i="41"/>
  <c r="P11" i="41"/>
  <c r="Q11" i="41"/>
  <c r="R11" i="41"/>
  <c r="S11" i="41"/>
  <c r="T11" i="41"/>
  <c r="U11" i="41"/>
  <c r="V11" i="41"/>
  <c r="W11" i="41"/>
  <c r="X11" i="41"/>
  <c r="Y11" i="41"/>
  <c r="Z11" i="41"/>
  <c r="AA11" i="41"/>
  <c r="O12" i="41"/>
  <c r="P12" i="41"/>
  <c r="Q12" i="41"/>
  <c r="R12" i="41"/>
  <c r="S12" i="41"/>
  <c r="T12" i="41"/>
  <c r="U12" i="41"/>
  <c r="V12" i="41"/>
  <c r="W12" i="41"/>
  <c r="X12" i="41"/>
  <c r="Y12" i="41"/>
  <c r="Z12" i="41"/>
  <c r="AA12" i="41"/>
  <c r="O20" i="41"/>
  <c r="P20" i="41"/>
  <c r="Q20" i="41"/>
  <c r="R20" i="41"/>
  <c r="S20" i="41"/>
  <c r="T20" i="41"/>
  <c r="U20" i="41"/>
  <c r="V20" i="41"/>
  <c r="W20" i="41"/>
  <c r="X20" i="41"/>
  <c r="AB4" i="41"/>
  <c r="AC4" i="41"/>
  <c r="AD4" i="41"/>
  <c r="AE4" i="41"/>
  <c r="AF4" i="41"/>
  <c r="AG4" i="41"/>
  <c r="AH4" i="41"/>
  <c r="AI4" i="41"/>
  <c r="AJ4" i="41"/>
  <c r="AK4" i="41"/>
  <c r="AL4" i="41"/>
  <c r="AM4" i="41"/>
  <c r="AN4" i="41"/>
  <c r="AB5" i="41"/>
  <c r="AC5" i="41"/>
  <c r="AD5" i="41"/>
  <c r="AE5" i="41"/>
  <c r="AF5" i="41"/>
  <c r="AG5" i="41"/>
  <c r="AH5" i="41"/>
  <c r="AI5" i="41"/>
  <c r="AJ5" i="41"/>
  <c r="AK5" i="41"/>
  <c r="AL5" i="41"/>
  <c r="AM5" i="41"/>
  <c r="AN5" i="41"/>
  <c r="AB6" i="41"/>
  <c r="AC6" i="41"/>
  <c r="AD6" i="41"/>
  <c r="AE6" i="41"/>
  <c r="AF6" i="41"/>
  <c r="AG6" i="41"/>
  <c r="AH6" i="41"/>
  <c r="AI6" i="41"/>
  <c r="AJ6" i="41"/>
  <c r="AK6" i="41"/>
  <c r="AL6" i="41"/>
  <c r="AM6" i="41"/>
  <c r="AN6" i="41"/>
  <c r="AB7" i="41"/>
  <c r="AC7" i="41"/>
  <c r="AD7" i="41"/>
  <c r="AE7" i="41"/>
  <c r="AF7" i="41"/>
  <c r="AG7" i="41"/>
  <c r="AH7" i="41"/>
  <c r="AI7" i="41"/>
  <c r="AJ7" i="41"/>
  <c r="AK7" i="41"/>
  <c r="AL7" i="41"/>
  <c r="AM7" i="41"/>
  <c r="AN7" i="41"/>
  <c r="AB8" i="41"/>
  <c r="AC8" i="41"/>
  <c r="AD8" i="41"/>
  <c r="AE8" i="41"/>
  <c r="AF8" i="41"/>
  <c r="AG8" i="41"/>
  <c r="AH8" i="41"/>
  <c r="AI8" i="41"/>
  <c r="AJ8" i="41"/>
  <c r="AK8" i="41"/>
  <c r="AL8" i="41"/>
  <c r="AM8" i="41"/>
  <c r="AN8" i="41"/>
  <c r="AB9" i="41"/>
  <c r="AC9" i="41"/>
  <c r="AD9" i="41"/>
  <c r="AE9" i="41"/>
  <c r="AF9" i="41"/>
  <c r="AG9" i="41"/>
  <c r="AH9" i="41"/>
  <c r="AI9" i="41"/>
  <c r="AJ9" i="41"/>
  <c r="AK9" i="41"/>
  <c r="AL9" i="41"/>
  <c r="AM9" i="41"/>
  <c r="AN9" i="41"/>
  <c r="AB10" i="41"/>
  <c r="AC10" i="41"/>
  <c r="AD10" i="41"/>
  <c r="AE10" i="41"/>
  <c r="AF10" i="41"/>
  <c r="AG10" i="41"/>
  <c r="AH10" i="41"/>
  <c r="AI10" i="41"/>
  <c r="AJ10" i="41"/>
  <c r="AK10" i="41"/>
  <c r="AL10" i="41"/>
  <c r="AM10" i="41"/>
  <c r="AN10" i="41"/>
  <c r="AB11" i="41"/>
  <c r="AC11" i="41"/>
  <c r="AD11" i="41"/>
  <c r="AE11" i="41"/>
  <c r="AF11" i="41"/>
  <c r="AG11" i="41"/>
  <c r="AH11" i="41"/>
  <c r="AI11" i="41"/>
  <c r="AJ11" i="41"/>
  <c r="AK11" i="41"/>
  <c r="AL11" i="41"/>
  <c r="AM11" i="41"/>
  <c r="AN11" i="41"/>
  <c r="AB12" i="41"/>
  <c r="AC12" i="41"/>
  <c r="AD12" i="41"/>
  <c r="AE12" i="41"/>
  <c r="AF12" i="41"/>
  <c r="AG12" i="41"/>
  <c r="AH12" i="41"/>
  <c r="AI12" i="41"/>
  <c r="AJ12" i="41"/>
  <c r="AK12" i="41"/>
  <c r="AL12" i="41"/>
  <c r="AM12" i="41"/>
  <c r="AN12" i="41"/>
  <c r="AB20" i="41"/>
  <c r="AC20" i="41"/>
  <c r="AD20" i="41"/>
  <c r="AE20" i="41"/>
  <c r="AF20" i="41"/>
  <c r="AG20" i="41"/>
  <c r="AH20" i="41"/>
  <c r="AI20" i="41"/>
  <c r="AJ20" i="41"/>
  <c r="AK20" i="41"/>
  <c r="AO4" i="41"/>
  <c r="AP4" i="41"/>
  <c r="AQ4" i="41"/>
  <c r="AR4" i="41"/>
  <c r="AS4" i="41"/>
  <c r="AT4" i="41"/>
  <c r="AU4" i="41"/>
  <c r="AV4" i="41"/>
  <c r="AW4" i="41"/>
  <c r="AX4" i="41"/>
  <c r="AY4" i="41"/>
  <c r="AZ4" i="41"/>
  <c r="BA4" i="41"/>
  <c r="AO5" i="41"/>
  <c r="AP5" i="41"/>
  <c r="AQ5" i="41"/>
  <c r="AR5" i="41"/>
  <c r="AS5" i="41"/>
  <c r="AT5" i="41"/>
  <c r="AU5" i="41"/>
  <c r="AV5" i="41"/>
  <c r="AW5" i="41"/>
  <c r="AX5" i="41"/>
  <c r="AY5" i="41"/>
  <c r="AZ5" i="41"/>
  <c r="BA5" i="41"/>
  <c r="AO6" i="41"/>
  <c r="AP6" i="41"/>
  <c r="AQ6" i="41"/>
  <c r="AR6" i="41"/>
  <c r="AS6" i="41"/>
  <c r="AT6" i="41"/>
  <c r="AU6" i="41"/>
  <c r="AV6" i="41"/>
  <c r="AW6" i="41"/>
  <c r="AX6" i="41"/>
  <c r="AY6" i="41"/>
  <c r="AZ6" i="41"/>
  <c r="BA6" i="41"/>
  <c r="AO7" i="41"/>
  <c r="AP7" i="41"/>
  <c r="AQ7" i="41"/>
  <c r="AR7" i="41"/>
  <c r="AS7" i="41"/>
  <c r="AT7" i="41"/>
  <c r="AU7" i="41"/>
  <c r="AV7" i="41"/>
  <c r="AW7" i="41"/>
  <c r="AX7" i="41"/>
  <c r="AY7" i="41"/>
  <c r="AZ7" i="41"/>
  <c r="BA7" i="41"/>
  <c r="AO8" i="41"/>
  <c r="AP8" i="41"/>
  <c r="AQ8" i="41"/>
  <c r="AR8" i="41"/>
  <c r="AS8" i="41"/>
  <c r="AT8" i="41"/>
  <c r="AU8" i="41"/>
  <c r="AV8" i="41"/>
  <c r="AW8" i="41"/>
  <c r="AX8" i="41"/>
  <c r="AY8" i="41"/>
  <c r="AZ8" i="41"/>
  <c r="BA8" i="41"/>
  <c r="AO9" i="41"/>
  <c r="AP9" i="41"/>
  <c r="AQ9" i="41"/>
  <c r="AR9" i="41"/>
  <c r="AS9" i="41"/>
  <c r="AT9" i="41"/>
  <c r="AU9" i="41"/>
  <c r="AV9" i="41"/>
  <c r="AW9" i="41"/>
  <c r="AX9" i="41"/>
  <c r="AY9" i="41"/>
  <c r="AZ9" i="41"/>
  <c r="BA9" i="41"/>
  <c r="AO10" i="41"/>
  <c r="AP10" i="41"/>
  <c r="AQ10" i="41"/>
  <c r="AR10" i="41"/>
  <c r="AS10" i="41"/>
  <c r="AT10" i="41"/>
  <c r="AU10" i="41"/>
  <c r="AV10" i="41"/>
  <c r="AW10" i="41"/>
  <c r="AX10" i="41"/>
  <c r="AY10" i="41"/>
  <c r="AZ10" i="41"/>
  <c r="BA10" i="41"/>
  <c r="AO11" i="41"/>
  <c r="AP11" i="41"/>
  <c r="AQ11" i="41"/>
  <c r="AR11" i="41"/>
  <c r="AS11" i="41"/>
  <c r="AT11" i="41"/>
  <c r="AU11" i="41"/>
  <c r="AV11" i="41"/>
  <c r="AW11" i="41"/>
  <c r="AX11" i="41"/>
  <c r="AY11" i="41"/>
  <c r="AZ11" i="41"/>
  <c r="BA11" i="41"/>
  <c r="AO12" i="41"/>
  <c r="AP12" i="41"/>
  <c r="AQ12" i="41"/>
  <c r="AR12" i="41"/>
  <c r="AS12" i="41"/>
  <c r="AT12" i="41"/>
  <c r="AU12" i="41"/>
  <c r="AV12" i="41"/>
  <c r="AW12" i="41"/>
  <c r="AX12" i="41"/>
  <c r="AY12" i="41"/>
  <c r="AZ12" i="41"/>
  <c r="BA12" i="41"/>
  <c r="AO20" i="41"/>
  <c r="AP20" i="41"/>
  <c r="AQ20" i="41"/>
  <c r="AR20" i="41"/>
  <c r="AS20" i="41"/>
  <c r="AT20" i="41"/>
  <c r="AU20" i="41"/>
  <c r="AV20" i="41"/>
  <c r="AW20" i="41"/>
  <c r="AX20" i="41"/>
  <c r="BC43" i="41"/>
  <c r="BC42" i="3098"/>
  <c r="BB43" i="41"/>
  <c r="BB42" i="3098"/>
  <c r="BA43" i="41"/>
  <c r="BA42" i="3098"/>
  <c r="AZ43" i="41"/>
  <c r="AZ42" i="3098"/>
  <c r="AY43" i="41"/>
  <c r="AY42" i="3098"/>
  <c r="AX43" i="41"/>
  <c r="AX42" i="3098"/>
  <c r="AW43" i="41"/>
  <c r="AW42" i="3098"/>
  <c r="AV43" i="41"/>
  <c r="AV42" i="3098"/>
  <c r="AU43" i="41"/>
  <c r="AU42" i="3098"/>
  <c r="AT43" i="41"/>
  <c r="AT42" i="3098"/>
  <c r="BC41" i="3098"/>
  <c r="BB41" i="3098"/>
  <c r="BA41" i="3098"/>
  <c r="AZ41" i="3098"/>
  <c r="AY41" i="3098"/>
  <c r="AX41" i="3098"/>
  <c r="AW41" i="3098"/>
  <c r="AV41" i="3098"/>
  <c r="AU41" i="3098"/>
  <c r="AT41" i="3098"/>
  <c r="AX19" i="3098"/>
  <c r="AW19" i="3098"/>
  <c r="AV19" i="3098"/>
  <c r="AU19" i="3098"/>
  <c r="AT19" i="3098"/>
  <c r="AS19" i="3098"/>
  <c r="AR19" i="3098"/>
  <c r="AQ19" i="3098"/>
  <c r="AP19" i="3098"/>
  <c r="AO19" i="3098"/>
  <c r="AX18" i="3098"/>
  <c r="AW18" i="3098"/>
  <c r="AV18" i="3098"/>
  <c r="AU18" i="3098"/>
  <c r="AT18" i="3098"/>
  <c r="AS18" i="3098"/>
  <c r="AR18" i="3098"/>
  <c r="AQ18" i="3098"/>
  <c r="AP18" i="3098"/>
  <c r="AO18" i="3098"/>
  <c r="AK19" i="3098"/>
  <c r="AJ19" i="3098"/>
  <c r="AI19" i="3098"/>
  <c r="AH19" i="3098"/>
  <c r="AG19" i="3098"/>
  <c r="AF19" i="3098"/>
  <c r="AE19" i="3098"/>
  <c r="AD19" i="3098"/>
  <c r="AC19" i="3098"/>
  <c r="AB19" i="3098"/>
  <c r="AK18" i="3098"/>
  <c r="AJ18" i="3098"/>
  <c r="AI18" i="3098"/>
  <c r="AH18" i="3098"/>
  <c r="AG18" i="3098"/>
  <c r="AF18" i="3098"/>
  <c r="AE18" i="3098"/>
  <c r="AD18" i="3098"/>
  <c r="AC18" i="3098"/>
  <c r="AB18" i="3098"/>
  <c r="X19" i="3098"/>
  <c r="W19" i="3098"/>
  <c r="V19" i="3098"/>
  <c r="U19" i="3098"/>
  <c r="T19" i="3098"/>
  <c r="S19" i="3098"/>
  <c r="R19" i="3098"/>
  <c r="Q19" i="3098"/>
  <c r="P19" i="3098"/>
  <c r="O19" i="3098"/>
  <c r="X18" i="3098"/>
  <c r="W18" i="3098"/>
  <c r="V18" i="3098"/>
  <c r="U18" i="3098"/>
  <c r="T18" i="3098"/>
  <c r="S18" i="3098"/>
  <c r="R18" i="3098"/>
  <c r="Q18" i="3098"/>
  <c r="P18" i="3098"/>
  <c r="O18" i="3098"/>
  <c r="C18" i="3098"/>
  <c r="D18" i="3098"/>
  <c r="E18" i="3098"/>
  <c r="F18" i="3098"/>
  <c r="G18" i="3098"/>
  <c r="H18" i="3098"/>
  <c r="I18" i="3098"/>
  <c r="J18" i="3098"/>
  <c r="K18" i="3098"/>
  <c r="C19" i="3098"/>
  <c r="D19" i="3098"/>
  <c r="E19" i="3098"/>
  <c r="F19" i="3098"/>
  <c r="G19" i="3098"/>
  <c r="H19" i="3098"/>
  <c r="I19" i="3098"/>
  <c r="J19" i="3098"/>
  <c r="K19" i="3098"/>
  <c r="B19" i="3098"/>
  <c r="B18" i="3098"/>
  <c r="B4" i="3098"/>
  <c r="C4" i="3098"/>
  <c r="D4" i="3098"/>
  <c r="E4" i="3098"/>
  <c r="F4" i="3098"/>
  <c r="G4" i="3098"/>
  <c r="H4" i="3098"/>
  <c r="I4" i="3098"/>
  <c r="J4" i="3098"/>
  <c r="K4" i="3098"/>
  <c r="L4" i="3098"/>
  <c r="M4" i="3098"/>
  <c r="N4" i="3098"/>
  <c r="E23" i="3098"/>
  <c r="B5" i="3098"/>
  <c r="C5" i="3098"/>
  <c r="D5" i="3098"/>
  <c r="E5" i="3098"/>
  <c r="F5" i="3098"/>
  <c r="G5" i="3098"/>
  <c r="H5" i="3098"/>
  <c r="I5" i="3098"/>
  <c r="J5" i="3098"/>
  <c r="K5" i="3098"/>
  <c r="L5" i="3098"/>
  <c r="M5" i="3098"/>
  <c r="N5" i="3098"/>
  <c r="E24" i="3098"/>
  <c r="F24" i="3098"/>
  <c r="C24" i="3098"/>
  <c r="A125" i="3098"/>
  <c r="A126" i="3098"/>
  <c r="A127" i="3098"/>
  <c r="A128" i="3098"/>
  <c r="A129" i="3098"/>
  <c r="A130" i="3098"/>
  <c r="A131" i="3098"/>
  <c r="A132" i="3098"/>
  <c r="A124" i="3098"/>
  <c r="A86" i="3098"/>
  <c r="A87" i="3098"/>
  <c r="A85" i="3098"/>
  <c r="A80" i="3098"/>
  <c r="A81" i="3098"/>
  <c r="A82" i="3098"/>
  <c r="A83" i="3098"/>
  <c r="A84" i="3098"/>
  <c r="A79" i="3098"/>
  <c r="A67" i="3098"/>
  <c r="A68" i="3098"/>
  <c r="A69" i="3098"/>
  <c r="A70" i="3098"/>
  <c r="A71" i="3098"/>
  <c r="A72" i="3098"/>
  <c r="A73" i="3098"/>
  <c r="A74" i="3098"/>
  <c r="A66" i="3098"/>
  <c r="A12" i="3098"/>
  <c r="A11" i="3098"/>
  <c r="A10" i="3098"/>
  <c r="A9" i="3098"/>
  <c r="A8" i="3098"/>
  <c r="A7" i="3098"/>
  <c r="A6" i="3098"/>
  <c r="A5" i="3098"/>
  <c r="A4" i="3098"/>
  <c r="BE101" i="41"/>
  <c r="AB24" i="41"/>
  <c r="O32" i="41"/>
  <c r="O31" i="41"/>
  <c r="O24" i="41"/>
  <c r="B25" i="41"/>
  <c r="B26" i="41"/>
  <c r="B27" i="41"/>
  <c r="B28" i="41"/>
  <c r="B29" i="41"/>
  <c r="B30" i="41"/>
  <c r="B31" i="41"/>
  <c r="B32" i="41"/>
  <c r="B24" i="41"/>
  <c r="A4" i="41"/>
  <c r="A11" i="41"/>
  <c r="A12" i="41"/>
  <c r="A9" i="41"/>
  <c r="A10" i="41"/>
  <c r="A8" i="41"/>
  <c r="A5" i="41"/>
  <c r="A6" i="41"/>
  <c r="A7" i="41"/>
  <c r="BC4" i="41"/>
  <c r="R97" i="4"/>
  <c r="BF4" i="41"/>
  <c r="BG4" i="41"/>
  <c r="BH4" i="41"/>
  <c r="BI4" i="41"/>
  <c r="BJ4" i="41"/>
  <c r="BK4" i="41"/>
  <c r="BL4" i="41"/>
  <c r="BM4" i="41"/>
  <c r="BN4" i="41"/>
  <c r="BO4" i="41"/>
  <c r="BP4" i="41"/>
  <c r="BQ4" i="41"/>
  <c r="BR4" i="41"/>
  <c r="R98" i="4"/>
  <c r="BF5" i="41"/>
  <c r="BG5" i="41"/>
  <c r="BH5" i="41"/>
  <c r="BI5" i="41"/>
  <c r="BJ5" i="41"/>
  <c r="BK5" i="41"/>
  <c r="BL5" i="41"/>
  <c r="BM5" i="41"/>
  <c r="BN5" i="41"/>
  <c r="BO5" i="41"/>
  <c r="BP5" i="41"/>
  <c r="BQ5" i="41"/>
  <c r="BR5" i="41"/>
  <c r="R99" i="4"/>
  <c r="BF6" i="41"/>
  <c r="BG6" i="41"/>
  <c r="BH6" i="41"/>
  <c r="BI6" i="41"/>
  <c r="BJ6" i="41"/>
  <c r="BK6" i="41"/>
  <c r="BL6" i="41"/>
  <c r="BM6" i="41"/>
  <c r="BN6" i="41"/>
  <c r="BO6" i="41"/>
  <c r="BP6" i="41"/>
  <c r="BQ6" i="41"/>
  <c r="BR6" i="41"/>
  <c r="R100" i="4"/>
  <c r="BF7" i="41"/>
  <c r="BG7" i="41"/>
  <c r="BH7" i="41"/>
  <c r="BI7" i="41"/>
  <c r="BJ7" i="41"/>
  <c r="BK7" i="41"/>
  <c r="BL7" i="41"/>
  <c r="BM7" i="41"/>
  <c r="BN7" i="41"/>
  <c r="BO7" i="41"/>
  <c r="BP7" i="41"/>
  <c r="BQ7" i="41"/>
  <c r="BR7" i="41"/>
  <c r="R101" i="4"/>
  <c r="BF8" i="41"/>
  <c r="BG8" i="41"/>
  <c r="BH8" i="41"/>
  <c r="BI8" i="41"/>
  <c r="BJ8" i="41"/>
  <c r="BK8" i="41"/>
  <c r="BL8" i="41"/>
  <c r="BM8" i="41"/>
  <c r="BN8" i="41"/>
  <c r="BO8" i="41"/>
  <c r="BP8" i="41"/>
  <c r="BQ8" i="41"/>
  <c r="BR8" i="41"/>
  <c r="R102" i="4"/>
  <c r="BF9" i="41"/>
  <c r="BG9" i="41"/>
  <c r="BH9" i="41"/>
  <c r="BI9" i="41"/>
  <c r="BJ9" i="41"/>
  <c r="BK9" i="41"/>
  <c r="BL9" i="41"/>
  <c r="BM9" i="41"/>
  <c r="BN9" i="41"/>
  <c r="BO9" i="41"/>
  <c r="BP9" i="41"/>
  <c r="BQ9" i="41"/>
  <c r="BR9" i="41"/>
  <c r="R103" i="4"/>
  <c r="BF10" i="41"/>
  <c r="BG10" i="41"/>
  <c r="BH10" i="41"/>
  <c r="BI10" i="41"/>
  <c r="BJ10" i="41"/>
  <c r="BK10" i="41"/>
  <c r="BL10" i="41"/>
  <c r="BM10" i="41"/>
  <c r="BN10" i="41"/>
  <c r="BO10" i="41"/>
  <c r="BP10" i="41"/>
  <c r="BQ10" i="41"/>
  <c r="BR10" i="41"/>
  <c r="R104" i="4"/>
  <c r="BF11" i="41"/>
  <c r="BG11" i="41"/>
  <c r="BH11" i="41"/>
  <c r="BI11" i="41"/>
  <c r="BJ11" i="41"/>
  <c r="BK11" i="41"/>
  <c r="BL11" i="41"/>
  <c r="BM11" i="41"/>
  <c r="BN11" i="41"/>
  <c r="BO11" i="41"/>
  <c r="BP11" i="41"/>
  <c r="BQ11" i="41"/>
  <c r="BR11" i="41"/>
  <c r="R105" i="4"/>
  <c r="BF12" i="41"/>
  <c r="BG12" i="41"/>
  <c r="BH12" i="41"/>
  <c r="BI12" i="41"/>
  <c r="BJ12" i="41"/>
  <c r="BK12" i="41"/>
  <c r="BL12" i="41"/>
  <c r="BM12" i="41"/>
  <c r="BN12" i="41"/>
  <c r="BO12" i="41"/>
  <c r="BP12" i="41"/>
  <c r="BQ12" i="41"/>
  <c r="BR12" i="41"/>
  <c r="BF20" i="41"/>
  <c r="BG20" i="41"/>
  <c r="BH20" i="41"/>
  <c r="BI20" i="41"/>
  <c r="BJ20" i="41"/>
  <c r="BK20" i="41"/>
  <c r="BL20" i="41"/>
  <c r="BM20" i="41"/>
  <c r="BN20" i="41"/>
  <c r="BO20" i="41"/>
  <c r="D97" i="4"/>
  <c r="D27" i="4"/>
  <c r="S109" i="4"/>
  <c r="S108" i="4"/>
  <c r="S107" i="4"/>
  <c r="S106" i="4"/>
  <c r="S85" i="4"/>
  <c r="S84" i="4"/>
  <c r="S83" i="4"/>
  <c r="S82" i="4"/>
  <c r="S62" i="4"/>
  <c r="S61" i="4"/>
  <c r="S60" i="4"/>
  <c r="S59" i="4"/>
  <c r="S36" i="4"/>
  <c r="S98" i="4"/>
  <c r="S99" i="4"/>
  <c r="S100" i="4"/>
  <c r="S101" i="4"/>
  <c r="S102" i="4"/>
  <c r="S103" i="4"/>
  <c r="S104" i="4"/>
  <c r="S105" i="4"/>
  <c r="S97" i="4"/>
  <c r="G106" i="4"/>
  <c r="H106" i="4"/>
  <c r="I106" i="4"/>
  <c r="J106" i="4"/>
  <c r="K106" i="4"/>
  <c r="L106" i="4"/>
  <c r="M106" i="4"/>
  <c r="N106" i="4"/>
  <c r="F106" i="4"/>
  <c r="V112" i="4"/>
  <c r="E106" i="4"/>
  <c r="E15" i="4"/>
  <c r="E16" i="4"/>
  <c r="E14" i="4"/>
  <c r="S39" i="4"/>
  <c r="S38" i="4"/>
  <c r="S37" i="4"/>
  <c r="R27" i="4"/>
  <c r="S4" i="4"/>
  <c r="S27" i="4"/>
  <c r="T27" i="4"/>
  <c r="T4" i="4"/>
  <c r="S5" i="4"/>
  <c r="S6" i="4"/>
  <c r="S7" i="4"/>
  <c r="S8" i="4"/>
  <c r="S9" i="4"/>
  <c r="S10" i="4"/>
  <c r="S11" i="4"/>
  <c r="S12" i="4"/>
  <c r="F15" i="4"/>
  <c r="F16" i="4"/>
  <c r="G15" i="4"/>
  <c r="G16" i="4"/>
  <c r="H15" i="4"/>
  <c r="H16" i="4"/>
  <c r="I15" i="4"/>
  <c r="I16" i="4"/>
  <c r="J15" i="4"/>
  <c r="J16" i="4"/>
  <c r="K15" i="4"/>
  <c r="K16" i="4"/>
  <c r="L15" i="4"/>
  <c r="L16" i="4"/>
  <c r="M15" i="4"/>
  <c r="M16" i="4"/>
  <c r="N15" i="4"/>
  <c r="N16" i="4"/>
  <c r="O15" i="4"/>
  <c r="O16" i="4"/>
  <c r="P15" i="4"/>
  <c r="P16" i="4"/>
  <c r="Q15" i="4"/>
  <c r="Q16" i="4"/>
  <c r="R16" i="4"/>
  <c r="S16" i="4"/>
  <c r="S15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V43" i="4"/>
  <c r="V42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V65" i="4"/>
  <c r="E59" i="4"/>
  <c r="F59" i="4"/>
  <c r="G59" i="4"/>
  <c r="V66" i="4"/>
  <c r="H59" i="4"/>
  <c r="I59" i="4"/>
  <c r="J59" i="4"/>
  <c r="K59" i="4"/>
  <c r="L59" i="4"/>
  <c r="M59" i="4"/>
  <c r="N59" i="4"/>
  <c r="V113" i="4"/>
  <c r="I40" i="34"/>
  <c r="E110" i="4"/>
  <c r="E96" i="4"/>
  <c r="E95" i="4"/>
  <c r="T98" i="4"/>
  <c r="V98" i="4"/>
  <c r="T99" i="4"/>
  <c r="V99" i="4"/>
  <c r="T100" i="4"/>
  <c r="V100" i="4"/>
  <c r="T101" i="4"/>
  <c r="V101" i="4"/>
  <c r="T102" i="4"/>
  <c r="V102" i="4"/>
  <c r="T103" i="4"/>
  <c r="V103" i="4"/>
  <c r="T104" i="4"/>
  <c r="V104" i="4"/>
  <c r="T105" i="4"/>
  <c r="V105" i="4"/>
  <c r="J110" i="4"/>
  <c r="J96" i="4"/>
  <c r="V97" i="4"/>
  <c r="T97" i="4"/>
  <c r="R28" i="4"/>
  <c r="R51" i="4"/>
  <c r="R50" i="4"/>
  <c r="O106" i="4"/>
  <c r="P106" i="4"/>
  <c r="Q106" i="4"/>
  <c r="O1" i="29"/>
  <c r="A119" i="29"/>
  <c r="N1" i="29"/>
  <c r="A118" i="29"/>
  <c r="M1" i="29"/>
  <c r="A117" i="29"/>
  <c r="L1" i="29"/>
  <c r="A116" i="29"/>
  <c r="K1" i="29"/>
  <c r="A115" i="29"/>
  <c r="J1" i="29"/>
  <c r="A114" i="29"/>
  <c r="I1" i="29"/>
  <c r="A113" i="29"/>
  <c r="H1" i="29"/>
  <c r="A112" i="29"/>
  <c r="G1" i="29"/>
  <c r="A111" i="29"/>
  <c r="F1" i="29"/>
  <c r="A110" i="29"/>
  <c r="E1" i="29"/>
  <c r="A109" i="29"/>
  <c r="D1" i="29"/>
  <c r="A108" i="29"/>
  <c r="C1" i="29"/>
  <c r="A107" i="29"/>
  <c r="F108" i="29"/>
  <c r="E80" i="33"/>
  <c r="B13" i="41"/>
  <c r="C13" i="41"/>
  <c r="C16" i="41"/>
  <c r="C17" i="41"/>
  <c r="D13" i="41"/>
  <c r="D16" i="41"/>
  <c r="D17" i="41"/>
  <c r="E13" i="41"/>
  <c r="E16" i="41"/>
  <c r="E17" i="41"/>
  <c r="F13" i="41"/>
  <c r="F16" i="41"/>
  <c r="F17" i="41"/>
  <c r="G13" i="41"/>
  <c r="G16" i="41"/>
  <c r="G17" i="41"/>
  <c r="H13" i="41"/>
  <c r="H16" i="41"/>
  <c r="H17" i="41"/>
  <c r="I13" i="41"/>
  <c r="I16" i="41"/>
  <c r="I17" i="41"/>
  <c r="J13" i="41"/>
  <c r="J16" i="41"/>
  <c r="J17" i="41"/>
  <c r="K13" i="41"/>
  <c r="K16" i="41"/>
  <c r="K17" i="41"/>
  <c r="L13" i="41"/>
  <c r="L16" i="41"/>
  <c r="L17" i="41"/>
  <c r="M13" i="41"/>
  <c r="M16" i="41"/>
  <c r="M17" i="41"/>
  <c r="N13" i="41"/>
  <c r="N16" i="41"/>
  <c r="N17" i="41"/>
  <c r="O13" i="41"/>
  <c r="P13" i="41"/>
  <c r="O16" i="41"/>
  <c r="O17" i="41"/>
  <c r="P16" i="41"/>
  <c r="P17" i="41"/>
  <c r="Q13" i="41"/>
  <c r="Q16" i="41"/>
  <c r="Q17" i="41"/>
  <c r="R13" i="41"/>
  <c r="R16" i="41"/>
  <c r="R17" i="41"/>
  <c r="S13" i="41"/>
  <c r="S16" i="41"/>
  <c r="S17" i="41"/>
  <c r="T13" i="41"/>
  <c r="T16" i="41"/>
  <c r="T17" i="41"/>
  <c r="U13" i="41"/>
  <c r="U16" i="41"/>
  <c r="U17" i="41"/>
  <c r="V13" i="41"/>
  <c r="V16" i="41"/>
  <c r="V17" i="41"/>
  <c r="W13" i="41"/>
  <c r="W16" i="41"/>
  <c r="W17" i="41"/>
  <c r="X13" i="41"/>
  <c r="X16" i="41"/>
  <c r="X17" i="41"/>
  <c r="Y13" i="41"/>
  <c r="Y16" i="41"/>
  <c r="Y17" i="41"/>
  <c r="Z13" i="41"/>
  <c r="Z16" i="41"/>
  <c r="Z17" i="41"/>
  <c r="AA13" i="41"/>
  <c r="AA16" i="41"/>
  <c r="AA17" i="41"/>
  <c r="AB13" i="41"/>
  <c r="AB16" i="41"/>
  <c r="AB17" i="41"/>
  <c r="AC13" i="41"/>
  <c r="AC16" i="41"/>
  <c r="AC17" i="41"/>
  <c r="AD13" i="41"/>
  <c r="AD16" i="41"/>
  <c r="AD17" i="41"/>
  <c r="AE13" i="41"/>
  <c r="AE16" i="41"/>
  <c r="AE17" i="41"/>
  <c r="AF13" i="41"/>
  <c r="AF16" i="41"/>
  <c r="AF17" i="41"/>
  <c r="AG13" i="41"/>
  <c r="AG16" i="41"/>
  <c r="AG17" i="41"/>
  <c r="AH13" i="41"/>
  <c r="AH16" i="41"/>
  <c r="AH17" i="41"/>
  <c r="AI13" i="41"/>
  <c r="AI16" i="41"/>
  <c r="AI17" i="41"/>
  <c r="AJ13" i="41"/>
  <c r="AJ16" i="41"/>
  <c r="AJ17" i="41"/>
  <c r="AK13" i="41"/>
  <c r="AK16" i="41"/>
  <c r="AK17" i="41"/>
  <c r="AL13" i="41"/>
  <c r="AL16" i="41"/>
  <c r="AL17" i="41"/>
  <c r="AM13" i="41"/>
  <c r="AM16" i="41"/>
  <c r="AM17" i="41"/>
  <c r="AN13" i="41"/>
  <c r="AN16" i="41"/>
  <c r="AN17" i="41"/>
  <c r="AO13" i="41"/>
  <c r="AO16" i="41"/>
  <c r="AO17" i="41"/>
  <c r="AP13" i="41"/>
  <c r="AP16" i="41"/>
  <c r="AP17" i="41"/>
  <c r="AQ13" i="41"/>
  <c r="AQ16" i="41"/>
  <c r="AQ17" i="41"/>
  <c r="AR13" i="41"/>
  <c r="AR16" i="41"/>
  <c r="AR17" i="41"/>
  <c r="AS13" i="41"/>
  <c r="AS16" i="41"/>
  <c r="AS17" i="41"/>
  <c r="AT13" i="41"/>
  <c r="AT16" i="41"/>
  <c r="AT17" i="41"/>
  <c r="AU13" i="41"/>
  <c r="AU16" i="41"/>
  <c r="AU17" i="41"/>
  <c r="AV13" i="41"/>
  <c r="AV16" i="41"/>
  <c r="AV17" i="41"/>
  <c r="AW13" i="41"/>
  <c r="AW16" i="41"/>
  <c r="AW17" i="41"/>
  <c r="AX13" i="41"/>
  <c r="AX16" i="41"/>
  <c r="AX17" i="41"/>
  <c r="AY13" i="41"/>
  <c r="AY16" i="41"/>
  <c r="AY17" i="41"/>
  <c r="AZ13" i="41"/>
  <c r="AZ16" i="41"/>
  <c r="AZ17" i="41"/>
  <c r="BA13" i="41"/>
  <c r="BA16" i="41"/>
  <c r="BA17" i="41"/>
  <c r="B16" i="41"/>
  <c r="B17" i="41"/>
  <c r="V72" i="4"/>
  <c r="V26" i="4"/>
  <c r="V68" i="3098"/>
  <c r="V126" i="3098"/>
  <c r="V69" i="3098"/>
  <c r="V127" i="3098"/>
  <c r="V74" i="3098"/>
  <c r="V132" i="3098"/>
  <c r="V72" i="3098"/>
  <c r="V130" i="3098"/>
  <c r="V71" i="3098"/>
  <c r="V129" i="3098"/>
  <c r="V70" i="3098"/>
  <c r="V128" i="3098"/>
  <c r="W66" i="3098"/>
  <c r="W124" i="3098"/>
  <c r="W67" i="3098"/>
  <c r="W125" i="3098"/>
  <c r="W68" i="3098"/>
  <c r="W126" i="3098"/>
  <c r="W69" i="3098"/>
  <c r="W127" i="3098"/>
  <c r="W70" i="3098"/>
  <c r="W128" i="3098"/>
  <c r="W71" i="3098"/>
  <c r="W129" i="3098"/>
  <c r="W72" i="3098"/>
  <c r="W130" i="3098"/>
  <c r="W73" i="3098"/>
  <c r="W131" i="3098"/>
  <c r="W74" i="3098"/>
  <c r="W132" i="3098"/>
  <c r="X66" i="3098"/>
  <c r="X124" i="3098"/>
  <c r="X67" i="3098"/>
  <c r="X125" i="3098"/>
  <c r="X68" i="3098"/>
  <c r="X126" i="3098"/>
  <c r="X69" i="3098"/>
  <c r="X127" i="3098"/>
  <c r="X70" i="3098"/>
  <c r="X128" i="3098"/>
  <c r="X71" i="3098"/>
  <c r="X129" i="3098"/>
  <c r="X72" i="3098"/>
  <c r="X130" i="3098"/>
  <c r="X73" i="3098"/>
  <c r="X131" i="3098"/>
  <c r="X74" i="3098"/>
  <c r="X132" i="3098"/>
  <c r="Y74" i="3098"/>
  <c r="Y132" i="3098"/>
  <c r="Y73" i="3098"/>
  <c r="Y131" i="3098"/>
  <c r="Y72" i="3098"/>
  <c r="Y130" i="3098"/>
  <c r="Y71" i="3098"/>
  <c r="Y129" i="3098"/>
  <c r="Y70" i="3098"/>
  <c r="Y128" i="3098"/>
  <c r="Y68" i="3098"/>
  <c r="Y126" i="3098"/>
  <c r="Y67" i="3098"/>
  <c r="Y125" i="3098"/>
  <c r="Y66" i="3098"/>
  <c r="Y124" i="3098"/>
  <c r="Z66" i="3098"/>
  <c r="Z124" i="3098"/>
  <c r="Z67" i="3098"/>
  <c r="Z125" i="3098"/>
  <c r="Z68" i="3098"/>
  <c r="Z126" i="3098"/>
  <c r="Z69" i="3098"/>
  <c r="Z127" i="3098"/>
  <c r="Z70" i="3098"/>
  <c r="Z128" i="3098"/>
  <c r="Z71" i="3098"/>
  <c r="Z129" i="3098"/>
  <c r="Z72" i="3098"/>
  <c r="Z130" i="3098"/>
  <c r="Z73" i="3098"/>
  <c r="Z131" i="3098"/>
  <c r="Z74" i="3098"/>
  <c r="Z132" i="3098"/>
  <c r="AA66" i="3098"/>
  <c r="AA124" i="3098"/>
  <c r="AA67" i="3098"/>
  <c r="AA125" i="3098"/>
  <c r="AA68" i="3098"/>
  <c r="AA126" i="3098"/>
  <c r="AA69" i="3098"/>
  <c r="AA127" i="3098"/>
  <c r="AA70" i="3098"/>
  <c r="AA128" i="3098"/>
  <c r="AA71" i="3098"/>
  <c r="AA129" i="3098"/>
  <c r="AA72" i="3098"/>
  <c r="AA130" i="3098"/>
  <c r="AA73" i="3098"/>
  <c r="AA131" i="3098"/>
  <c r="AA74" i="3098"/>
  <c r="AA132" i="3098"/>
  <c r="AB66" i="3098"/>
  <c r="AB124" i="3098"/>
  <c r="AB67" i="3098"/>
  <c r="AB125" i="3098"/>
  <c r="AB68" i="3098"/>
  <c r="AB126" i="3098"/>
  <c r="AB69" i="3098"/>
  <c r="AB127" i="3098"/>
  <c r="AB70" i="3098"/>
  <c r="AB128" i="3098"/>
  <c r="AB71" i="3098"/>
  <c r="AB129" i="3098"/>
  <c r="AB73" i="3098"/>
  <c r="AB131" i="3098"/>
  <c r="AB72" i="3098"/>
  <c r="AB130" i="3098"/>
  <c r="AB74" i="3098"/>
  <c r="AB132" i="3098"/>
  <c r="AC66" i="3098"/>
  <c r="AC124" i="3098"/>
  <c r="AC67" i="3098"/>
  <c r="AC125" i="3098"/>
  <c r="AC68" i="3098"/>
  <c r="AC126" i="3098"/>
  <c r="AC69" i="3098"/>
  <c r="AC127" i="3098"/>
  <c r="AC70" i="3098"/>
  <c r="AC128" i="3098"/>
  <c r="AC71" i="3098"/>
  <c r="AC129" i="3098"/>
  <c r="AC72" i="3098"/>
  <c r="AC130" i="3098"/>
  <c r="AC73" i="3098"/>
  <c r="AC131" i="3098"/>
  <c r="AC74" i="3098"/>
  <c r="AC132" i="3098"/>
  <c r="AD66" i="3098"/>
  <c r="AD124" i="3098"/>
  <c r="AD67" i="3098"/>
  <c r="AD125" i="3098"/>
  <c r="AD68" i="3098"/>
  <c r="AD126" i="3098"/>
  <c r="AD69" i="3098"/>
  <c r="AD127" i="3098"/>
  <c r="AD70" i="3098"/>
  <c r="AD128" i="3098"/>
  <c r="AD71" i="3098"/>
  <c r="AD129" i="3098"/>
  <c r="AD72" i="3098"/>
  <c r="AD130" i="3098"/>
  <c r="AD73" i="3098"/>
  <c r="AD131" i="3098"/>
  <c r="AD74" i="3098"/>
  <c r="AD132" i="3098"/>
  <c r="AE66" i="3098"/>
  <c r="AE124" i="3098"/>
  <c r="AE67" i="3098"/>
  <c r="AE125" i="3098"/>
  <c r="AE68" i="3098"/>
  <c r="AE126" i="3098"/>
  <c r="AE69" i="3098"/>
  <c r="AE127" i="3098"/>
  <c r="AE70" i="3098"/>
  <c r="AE128" i="3098"/>
  <c r="AE71" i="3098"/>
  <c r="AE129" i="3098"/>
  <c r="AE72" i="3098"/>
  <c r="AE130" i="3098"/>
  <c r="AE73" i="3098"/>
  <c r="AE131" i="3098"/>
  <c r="AE74" i="3098"/>
  <c r="AE132" i="3098"/>
  <c r="AF66" i="3098"/>
  <c r="AF124" i="3098"/>
  <c r="AF67" i="3098"/>
  <c r="AF125" i="3098"/>
  <c r="AF68" i="3098"/>
  <c r="AF126" i="3098"/>
  <c r="AF69" i="3098"/>
  <c r="AF127" i="3098"/>
  <c r="AF70" i="3098"/>
  <c r="AF128" i="3098"/>
  <c r="AF71" i="3098"/>
  <c r="AF129" i="3098"/>
  <c r="AF72" i="3098"/>
  <c r="AF130" i="3098"/>
  <c r="AF73" i="3098"/>
  <c r="AF131" i="3098"/>
  <c r="AF74" i="3098"/>
  <c r="AF132" i="3098"/>
  <c r="Q66" i="3098"/>
  <c r="Q124" i="3098"/>
  <c r="R66" i="3098"/>
  <c r="R124" i="3098"/>
  <c r="S66" i="3098"/>
  <c r="S124" i="3098"/>
  <c r="T66" i="3098"/>
  <c r="T124" i="3098"/>
  <c r="U66" i="3098"/>
  <c r="U124" i="3098"/>
  <c r="V66" i="3098"/>
  <c r="V124" i="3098"/>
  <c r="AG66" i="3098"/>
  <c r="AG124" i="3098"/>
  <c r="AH66" i="3098"/>
  <c r="AH124" i="3098"/>
  <c r="AI66" i="3098"/>
  <c r="AI124" i="3098"/>
  <c r="AJ66" i="3098"/>
  <c r="AJ124" i="3098"/>
  <c r="AK66" i="3098"/>
  <c r="AK124" i="3098"/>
  <c r="AL66" i="3098"/>
  <c r="AL124" i="3098"/>
  <c r="AM66" i="3098"/>
  <c r="AM124" i="3098"/>
  <c r="AN66" i="3098"/>
  <c r="AN124" i="3098"/>
  <c r="AO66" i="3098"/>
  <c r="AO124" i="3098"/>
  <c r="AP66" i="3098"/>
  <c r="AP124" i="3098"/>
  <c r="AQ66" i="3098"/>
  <c r="AQ124" i="3098"/>
  <c r="AR66" i="3098"/>
  <c r="AR124" i="3098"/>
  <c r="AS66" i="3098"/>
  <c r="AS124" i="3098"/>
  <c r="AT66" i="3098"/>
  <c r="AT124" i="3098"/>
  <c r="AU66" i="3098"/>
  <c r="AU124" i="3098"/>
  <c r="AV66" i="3098"/>
  <c r="AV124" i="3098"/>
  <c r="AW66" i="3098"/>
  <c r="AW124" i="3098"/>
  <c r="AX66" i="3098"/>
  <c r="AX124" i="3098"/>
  <c r="AY66" i="3098"/>
  <c r="AY124" i="3098"/>
  <c r="AZ66" i="3098"/>
  <c r="AZ124" i="3098"/>
  <c r="BA66" i="3098"/>
  <c r="BA124" i="3098"/>
  <c r="K67" i="3098"/>
  <c r="K125" i="3098"/>
  <c r="O67" i="3098"/>
  <c r="O125" i="3098"/>
  <c r="Q67" i="3098"/>
  <c r="Q125" i="3098"/>
  <c r="R67" i="3098"/>
  <c r="R125" i="3098"/>
  <c r="S67" i="3098"/>
  <c r="S125" i="3098"/>
  <c r="T67" i="3098"/>
  <c r="T125" i="3098"/>
  <c r="U67" i="3098"/>
  <c r="U125" i="3098"/>
  <c r="V67" i="3098"/>
  <c r="V125" i="3098"/>
  <c r="AG67" i="3098"/>
  <c r="AG125" i="3098"/>
  <c r="AH67" i="3098"/>
  <c r="AH125" i="3098"/>
  <c r="AI67" i="3098"/>
  <c r="AI125" i="3098"/>
  <c r="AJ67" i="3098"/>
  <c r="AJ125" i="3098"/>
  <c r="AK67" i="3098"/>
  <c r="AK125" i="3098"/>
  <c r="AL67" i="3098"/>
  <c r="AL125" i="3098"/>
  <c r="AM67" i="3098"/>
  <c r="AM125" i="3098"/>
  <c r="AN67" i="3098"/>
  <c r="AN125" i="3098"/>
  <c r="AO67" i="3098"/>
  <c r="AO125" i="3098"/>
  <c r="AP67" i="3098"/>
  <c r="AP125" i="3098"/>
  <c r="AQ67" i="3098"/>
  <c r="AQ125" i="3098"/>
  <c r="AR67" i="3098"/>
  <c r="AR125" i="3098"/>
  <c r="AS67" i="3098"/>
  <c r="AS125" i="3098"/>
  <c r="AT67" i="3098"/>
  <c r="AT125" i="3098"/>
  <c r="AU67" i="3098"/>
  <c r="AU125" i="3098"/>
  <c r="AV67" i="3098"/>
  <c r="AV125" i="3098"/>
  <c r="AW67" i="3098"/>
  <c r="AW125" i="3098"/>
  <c r="AX67" i="3098"/>
  <c r="AX125" i="3098"/>
  <c r="AY67" i="3098"/>
  <c r="AY125" i="3098"/>
  <c r="AZ67" i="3098"/>
  <c r="AZ125" i="3098"/>
  <c r="BA67" i="3098"/>
  <c r="BA125" i="3098"/>
  <c r="O68" i="3098"/>
  <c r="O126" i="3098"/>
  <c r="Q68" i="3098"/>
  <c r="Q126" i="3098"/>
  <c r="R68" i="3098"/>
  <c r="R126" i="3098"/>
  <c r="S68" i="3098"/>
  <c r="S126" i="3098"/>
  <c r="T68" i="3098"/>
  <c r="T126" i="3098"/>
  <c r="U68" i="3098"/>
  <c r="U126" i="3098"/>
  <c r="AG68" i="3098"/>
  <c r="AG126" i="3098"/>
  <c r="AH68" i="3098"/>
  <c r="AH126" i="3098"/>
  <c r="AI68" i="3098"/>
  <c r="AI126" i="3098"/>
  <c r="AJ68" i="3098"/>
  <c r="AJ126" i="3098"/>
  <c r="AK68" i="3098"/>
  <c r="AK126" i="3098"/>
  <c r="AL68" i="3098"/>
  <c r="AL126" i="3098"/>
  <c r="AM68" i="3098"/>
  <c r="AM126" i="3098"/>
  <c r="AN68" i="3098"/>
  <c r="AN126" i="3098"/>
  <c r="AO68" i="3098"/>
  <c r="AO126" i="3098"/>
  <c r="AP68" i="3098"/>
  <c r="AP126" i="3098"/>
  <c r="AQ68" i="3098"/>
  <c r="AQ126" i="3098"/>
  <c r="AR68" i="3098"/>
  <c r="AR126" i="3098"/>
  <c r="AS68" i="3098"/>
  <c r="AS126" i="3098"/>
  <c r="AT68" i="3098"/>
  <c r="AT126" i="3098"/>
  <c r="AU68" i="3098"/>
  <c r="AU126" i="3098"/>
  <c r="AV68" i="3098"/>
  <c r="AV126" i="3098"/>
  <c r="AW68" i="3098"/>
  <c r="AW126" i="3098"/>
  <c r="AX68" i="3098"/>
  <c r="AX126" i="3098"/>
  <c r="AY68" i="3098"/>
  <c r="AY126" i="3098"/>
  <c r="AZ68" i="3098"/>
  <c r="AZ126" i="3098"/>
  <c r="BA68" i="3098"/>
  <c r="BA126" i="3098"/>
  <c r="O69" i="3098"/>
  <c r="O127" i="3098"/>
  <c r="Q69" i="3098"/>
  <c r="Q127" i="3098"/>
  <c r="R69" i="3098"/>
  <c r="R127" i="3098"/>
  <c r="S69" i="3098"/>
  <c r="S127" i="3098"/>
  <c r="T69" i="3098"/>
  <c r="T127" i="3098"/>
  <c r="U69" i="3098"/>
  <c r="U127" i="3098"/>
  <c r="Y69" i="3098"/>
  <c r="Y127" i="3098"/>
  <c r="AG69" i="3098"/>
  <c r="AG127" i="3098"/>
  <c r="AH69" i="3098"/>
  <c r="AH127" i="3098"/>
  <c r="AI69" i="3098"/>
  <c r="AI127" i="3098"/>
  <c r="AJ69" i="3098"/>
  <c r="AJ127" i="3098"/>
  <c r="AK69" i="3098"/>
  <c r="AK127" i="3098"/>
  <c r="AL69" i="3098"/>
  <c r="AL127" i="3098"/>
  <c r="AM69" i="3098"/>
  <c r="AM127" i="3098"/>
  <c r="AN69" i="3098"/>
  <c r="AN127" i="3098"/>
  <c r="AO69" i="3098"/>
  <c r="AO127" i="3098"/>
  <c r="AP69" i="3098"/>
  <c r="AP127" i="3098"/>
  <c r="AQ69" i="3098"/>
  <c r="AQ127" i="3098"/>
  <c r="AR69" i="3098"/>
  <c r="AR127" i="3098"/>
  <c r="AS69" i="3098"/>
  <c r="AS127" i="3098"/>
  <c r="AT69" i="3098"/>
  <c r="AT127" i="3098"/>
  <c r="AU69" i="3098"/>
  <c r="AU127" i="3098"/>
  <c r="AV69" i="3098"/>
  <c r="AV127" i="3098"/>
  <c r="AW69" i="3098"/>
  <c r="AW127" i="3098"/>
  <c r="AX69" i="3098"/>
  <c r="AX127" i="3098"/>
  <c r="AY69" i="3098"/>
  <c r="AY127" i="3098"/>
  <c r="AZ69" i="3098"/>
  <c r="AZ127" i="3098"/>
  <c r="BA69" i="3098"/>
  <c r="BA127" i="3098"/>
  <c r="Q70" i="3098"/>
  <c r="Q128" i="3098"/>
  <c r="R70" i="3098"/>
  <c r="R128" i="3098"/>
  <c r="S70" i="3098"/>
  <c r="S128" i="3098"/>
  <c r="T70" i="3098"/>
  <c r="T128" i="3098"/>
  <c r="U70" i="3098"/>
  <c r="U128" i="3098"/>
  <c r="AG70" i="3098"/>
  <c r="AG128" i="3098"/>
  <c r="AH70" i="3098"/>
  <c r="AH128" i="3098"/>
  <c r="AI70" i="3098"/>
  <c r="AI128" i="3098"/>
  <c r="AJ70" i="3098"/>
  <c r="AJ128" i="3098"/>
  <c r="AK70" i="3098"/>
  <c r="AK128" i="3098"/>
  <c r="AL70" i="3098"/>
  <c r="AL128" i="3098"/>
  <c r="AM70" i="3098"/>
  <c r="AM128" i="3098"/>
  <c r="AN70" i="3098"/>
  <c r="AN128" i="3098"/>
  <c r="AO70" i="3098"/>
  <c r="AO128" i="3098"/>
  <c r="AP70" i="3098"/>
  <c r="AP128" i="3098"/>
  <c r="AQ70" i="3098"/>
  <c r="AQ128" i="3098"/>
  <c r="AR70" i="3098"/>
  <c r="AR128" i="3098"/>
  <c r="AS70" i="3098"/>
  <c r="AS128" i="3098"/>
  <c r="AT70" i="3098"/>
  <c r="AT128" i="3098"/>
  <c r="AU70" i="3098"/>
  <c r="AU128" i="3098"/>
  <c r="AV70" i="3098"/>
  <c r="AV128" i="3098"/>
  <c r="AW70" i="3098"/>
  <c r="AW128" i="3098"/>
  <c r="AX70" i="3098"/>
  <c r="AX128" i="3098"/>
  <c r="AY70" i="3098"/>
  <c r="AY128" i="3098"/>
  <c r="AZ70" i="3098"/>
  <c r="AZ128" i="3098"/>
  <c r="BA70" i="3098"/>
  <c r="BA128" i="3098"/>
  <c r="Q71" i="3098"/>
  <c r="Q129" i="3098"/>
  <c r="R71" i="3098"/>
  <c r="R129" i="3098"/>
  <c r="S71" i="3098"/>
  <c r="S129" i="3098"/>
  <c r="T71" i="3098"/>
  <c r="T129" i="3098"/>
  <c r="U71" i="3098"/>
  <c r="U129" i="3098"/>
  <c r="AG71" i="3098"/>
  <c r="AG129" i="3098"/>
  <c r="AH71" i="3098"/>
  <c r="AH129" i="3098"/>
  <c r="AI71" i="3098"/>
  <c r="AI129" i="3098"/>
  <c r="AJ71" i="3098"/>
  <c r="AJ129" i="3098"/>
  <c r="AK71" i="3098"/>
  <c r="AK129" i="3098"/>
  <c r="AL71" i="3098"/>
  <c r="AL129" i="3098"/>
  <c r="AM71" i="3098"/>
  <c r="AM129" i="3098"/>
  <c r="AN71" i="3098"/>
  <c r="AN129" i="3098"/>
  <c r="AO71" i="3098"/>
  <c r="AO129" i="3098"/>
  <c r="AP71" i="3098"/>
  <c r="AP129" i="3098"/>
  <c r="AQ71" i="3098"/>
  <c r="AQ129" i="3098"/>
  <c r="AR71" i="3098"/>
  <c r="AR129" i="3098"/>
  <c r="AS71" i="3098"/>
  <c r="AS129" i="3098"/>
  <c r="AT71" i="3098"/>
  <c r="AT129" i="3098"/>
  <c r="AU71" i="3098"/>
  <c r="AU129" i="3098"/>
  <c r="AV71" i="3098"/>
  <c r="AV129" i="3098"/>
  <c r="AW71" i="3098"/>
  <c r="AW129" i="3098"/>
  <c r="AX71" i="3098"/>
  <c r="AX129" i="3098"/>
  <c r="AY71" i="3098"/>
  <c r="AY129" i="3098"/>
  <c r="AZ71" i="3098"/>
  <c r="AZ129" i="3098"/>
  <c r="BA71" i="3098"/>
  <c r="BA129" i="3098"/>
  <c r="N72" i="3098"/>
  <c r="N130" i="3098"/>
  <c r="Q72" i="3098"/>
  <c r="Q130" i="3098"/>
  <c r="R72" i="3098"/>
  <c r="R130" i="3098"/>
  <c r="S72" i="3098"/>
  <c r="S130" i="3098"/>
  <c r="T72" i="3098"/>
  <c r="T130" i="3098"/>
  <c r="U72" i="3098"/>
  <c r="U130" i="3098"/>
  <c r="AG72" i="3098"/>
  <c r="AG130" i="3098"/>
  <c r="AH72" i="3098"/>
  <c r="AH130" i="3098"/>
  <c r="AI72" i="3098"/>
  <c r="AI130" i="3098"/>
  <c r="AJ72" i="3098"/>
  <c r="AJ130" i="3098"/>
  <c r="AK72" i="3098"/>
  <c r="AK130" i="3098"/>
  <c r="AL72" i="3098"/>
  <c r="AL130" i="3098"/>
  <c r="AM72" i="3098"/>
  <c r="AM130" i="3098"/>
  <c r="AN72" i="3098"/>
  <c r="AN130" i="3098"/>
  <c r="AO72" i="3098"/>
  <c r="AO130" i="3098"/>
  <c r="AP72" i="3098"/>
  <c r="AP130" i="3098"/>
  <c r="AQ72" i="3098"/>
  <c r="AQ130" i="3098"/>
  <c r="AR72" i="3098"/>
  <c r="AR130" i="3098"/>
  <c r="AS72" i="3098"/>
  <c r="AS130" i="3098"/>
  <c r="AT72" i="3098"/>
  <c r="AT130" i="3098"/>
  <c r="AU72" i="3098"/>
  <c r="AU130" i="3098"/>
  <c r="AV72" i="3098"/>
  <c r="AV130" i="3098"/>
  <c r="AW72" i="3098"/>
  <c r="AW130" i="3098"/>
  <c r="AX72" i="3098"/>
  <c r="AX130" i="3098"/>
  <c r="AY72" i="3098"/>
  <c r="AY130" i="3098"/>
  <c r="AZ72" i="3098"/>
  <c r="AZ130" i="3098"/>
  <c r="BA72" i="3098"/>
  <c r="BA130" i="3098"/>
  <c r="N73" i="3098"/>
  <c r="N131" i="3098"/>
  <c r="Q73" i="3098"/>
  <c r="Q131" i="3098"/>
  <c r="R73" i="3098"/>
  <c r="R131" i="3098"/>
  <c r="S73" i="3098"/>
  <c r="S131" i="3098"/>
  <c r="T73" i="3098"/>
  <c r="T131" i="3098"/>
  <c r="U73" i="3098"/>
  <c r="U131" i="3098"/>
  <c r="V73" i="3098"/>
  <c r="V131" i="3098"/>
  <c r="AG73" i="3098"/>
  <c r="AG131" i="3098"/>
  <c r="AH73" i="3098"/>
  <c r="AH131" i="3098"/>
  <c r="AI73" i="3098"/>
  <c r="AI131" i="3098"/>
  <c r="AJ73" i="3098"/>
  <c r="AJ131" i="3098"/>
  <c r="AK73" i="3098"/>
  <c r="AK131" i="3098"/>
  <c r="AL73" i="3098"/>
  <c r="AL131" i="3098"/>
  <c r="AM73" i="3098"/>
  <c r="AM131" i="3098"/>
  <c r="AN73" i="3098"/>
  <c r="AN131" i="3098"/>
  <c r="AO73" i="3098"/>
  <c r="AO131" i="3098"/>
  <c r="AP73" i="3098"/>
  <c r="AP131" i="3098"/>
  <c r="AQ73" i="3098"/>
  <c r="AQ131" i="3098"/>
  <c r="AR73" i="3098"/>
  <c r="AR131" i="3098"/>
  <c r="AS73" i="3098"/>
  <c r="AS131" i="3098"/>
  <c r="AT73" i="3098"/>
  <c r="AT131" i="3098"/>
  <c r="AU73" i="3098"/>
  <c r="AU131" i="3098"/>
  <c r="AV73" i="3098"/>
  <c r="AV131" i="3098"/>
  <c r="AW73" i="3098"/>
  <c r="AW131" i="3098"/>
  <c r="AX73" i="3098"/>
  <c r="AX131" i="3098"/>
  <c r="AY73" i="3098"/>
  <c r="AY131" i="3098"/>
  <c r="AZ73" i="3098"/>
  <c r="AZ131" i="3098"/>
  <c r="BA73" i="3098"/>
  <c r="BA131" i="3098"/>
  <c r="I74" i="3098"/>
  <c r="I132" i="3098"/>
  <c r="J74" i="3098"/>
  <c r="J132" i="3098"/>
  <c r="M74" i="3098"/>
  <c r="M132" i="3098"/>
  <c r="N74" i="3098"/>
  <c r="N132" i="3098"/>
  <c r="Q74" i="3098"/>
  <c r="Q132" i="3098"/>
  <c r="R74" i="3098"/>
  <c r="R132" i="3098"/>
  <c r="S74" i="3098"/>
  <c r="S132" i="3098"/>
  <c r="T74" i="3098"/>
  <c r="T132" i="3098"/>
  <c r="U74" i="3098"/>
  <c r="U132" i="3098"/>
  <c r="AG74" i="3098"/>
  <c r="AG132" i="3098"/>
  <c r="AH74" i="3098"/>
  <c r="AH132" i="3098"/>
  <c r="AI74" i="3098"/>
  <c r="AI132" i="3098"/>
  <c r="AJ74" i="3098"/>
  <c r="AJ132" i="3098"/>
  <c r="AK74" i="3098"/>
  <c r="AK132" i="3098"/>
  <c r="AL74" i="3098"/>
  <c r="AL132" i="3098"/>
  <c r="AM74" i="3098"/>
  <c r="AM132" i="3098"/>
  <c r="AN74" i="3098"/>
  <c r="AN132" i="3098"/>
  <c r="AO74" i="3098"/>
  <c r="AO132" i="3098"/>
  <c r="AP74" i="3098"/>
  <c r="AP132" i="3098"/>
  <c r="AQ74" i="3098"/>
  <c r="AQ132" i="3098"/>
  <c r="AR74" i="3098"/>
  <c r="AR132" i="3098"/>
  <c r="AS74" i="3098"/>
  <c r="AS132" i="3098"/>
  <c r="AT74" i="3098"/>
  <c r="AT132" i="3098"/>
  <c r="AU74" i="3098"/>
  <c r="AU132" i="3098"/>
  <c r="AV74" i="3098"/>
  <c r="AV132" i="3098"/>
  <c r="AW74" i="3098"/>
  <c r="AW132" i="3098"/>
  <c r="AX74" i="3098"/>
  <c r="AX132" i="3098"/>
  <c r="AY74" i="3098"/>
  <c r="AY132" i="3098"/>
  <c r="AZ74" i="3098"/>
  <c r="AZ132" i="3098"/>
  <c r="BA74" i="3098"/>
  <c r="BA132" i="3098"/>
  <c r="B72" i="33"/>
  <c r="C72" i="33"/>
  <c r="D72" i="33"/>
  <c r="AL213" i="3098"/>
  <c r="AL212" i="3098"/>
  <c r="L110" i="4"/>
  <c r="L96" i="4"/>
  <c r="G24" i="41"/>
  <c r="E24" i="41"/>
  <c r="F24" i="41"/>
  <c r="D24" i="41"/>
  <c r="E25" i="41"/>
  <c r="E26" i="41"/>
  <c r="E27" i="41"/>
  <c r="E28" i="41"/>
  <c r="E29" i="41"/>
  <c r="E30" i="41"/>
  <c r="E31" i="41"/>
  <c r="E32" i="41"/>
  <c r="F26" i="41"/>
  <c r="F27" i="41"/>
  <c r="F28" i="41"/>
  <c r="F29" i="41"/>
  <c r="F30" i="41"/>
  <c r="F31" i="41"/>
  <c r="F32" i="41"/>
  <c r="F25" i="41"/>
  <c r="O108" i="4"/>
  <c r="N108" i="4"/>
  <c r="M108" i="4"/>
  <c r="L108" i="4"/>
  <c r="K108" i="4"/>
  <c r="O107" i="4"/>
  <c r="N107" i="4"/>
  <c r="M107" i="4"/>
  <c r="L107" i="4"/>
  <c r="K107" i="4"/>
  <c r="E38" i="4"/>
  <c r="E39" i="4"/>
  <c r="F38" i="4"/>
  <c r="F39" i="4"/>
  <c r="G38" i="4"/>
  <c r="G39" i="4"/>
  <c r="H38" i="4"/>
  <c r="H39" i="4"/>
  <c r="I38" i="4"/>
  <c r="I39" i="4"/>
  <c r="J38" i="4"/>
  <c r="J39" i="4"/>
  <c r="K38" i="4"/>
  <c r="K39" i="4"/>
  <c r="L38" i="4"/>
  <c r="L39" i="4"/>
  <c r="M38" i="4"/>
  <c r="M39" i="4"/>
  <c r="N38" i="4"/>
  <c r="N39" i="4"/>
  <c r="O38" i="4"/>
  <c r="O39" i="4"/>
  <c r="P38" i="4"/>
  <c r="P39" i="4"/>
  <c r="Q38" i="4"/>
  <c r="Q39" i="4"/>
  <c r="R39" i="4"/>
  <c r="G25" i="41"/>
  <c r="G26" i="41"/>
  <c r="G27" i="41"/>
  <c r="G28" i="41"/>
  <c r="G29" i="41"/>
  <c r="G30" i="41"/>
  <c r="G31" i="41"/>
  <c r="G32" i="41"/>
  <c r="O100" i="41"/>
  <c r="P100" i="41"/>
  <c r="Q100" i="41"/>
  <c r="R100" i="41"/>
  <c r="S100" i="41"/>
  <c r="T100" i="41"/>
  <c r="U100" i="41"/>
  <c r="P101" i="41"/>
  <c r="Q101" i="41"/>
  <c r="R101" i="41"/>
  <c r="S101" i="41"/>
  <c r="T101" i="41"/>
  <c r="U101" i="41"/>
  <c r="P102" i="41"/>
  <c r="Q102" i="41"/>
  <c r="R102" i="41"/>
  <c r="S102" i="41"/>
  <c r="T102" i="41"/>
  <c r="U102" i="41"/>
  <c r="P103" i="41"/>
  <c r="Q103" i="41"/>
  <c r="R103" i="41"/>
  <c r="S103" i="41"/>
  <c r="T103" i="41"/>
  <c r="U103" i="41"/>
  <c r="P104" i="41"/>
  <c r="Q104" i="41"/>
  <c r="R104" i="41"/>
  <c r="S104" i="41"/>
  <c r="T104" i="41"/>
  <c r="U104" i="41"/>
  <c r="P105" i="41"/>
  <c r="Q105" i="41"/>
  <c r="R105" i="41"/>
  <c r="S105" i="41"/>
  <c r="T105" i="41"/>
  <c r="U105" i="41"/>
  <c r="P106" i="41"/>
  <c r="Q106" i="41"/>
  <c r="R106" i="41"/>
  <c r="S106" i="41"/>
  <c r="T106" i="41"/>
  <c r="U106" i="41"/>
  <c r="Q107" i="41"/>
  <c r="R107" i="41"/>
  <c r="S107" i="41"/>
  <c r="T107" i="41"/>
  <c r="Q108" i="41"/>
  <c r="R108" i="41"/>
  <c r="S108" i="41"/>
  <c r="T108" i="41"/>
  <c r="Q109" i="41"/>
  <c r="R109" i="41"/>
  <c r="S109" i="41"/>
  <c r="T109" i="41"/>
  <c r="Q110" i="41"/>
  <c r="S110" i="41"/>
  <c r="T110" i="41"/>
  <c r="Q111" i="41"/>
  <c r="S111" i="41"/>
  <c r="T111" i="41"/>
  <c r="Q112" i="41"/>
  <c r="S112" i="41"/>
  <c r="T112" i="41"/>
  <c r="Q113" i="41"/>
  <c r="S113" i="41"/>
  <c r="T113" i="41"/>
  <c r="Q114" i="41"/>
  <c r="S114" i="41"/>
  <c r="T114" i="41"/>
  <c r="Q115" i="41"/>
  <c r="S115" i="41"/>
  <c r="T115" i="41"/>
  <c r="Q116" i="41"/>
  <c r="S116" i="41"/>
  <c r="T116" i="41"/>
  <c r="Q117" i="41"/>
  <c r="S117" i="41"/>
  <c r="T117" i="41"/>
  <c r="Q118" i="41"/>
  <c r="S118" i="41"/>
  <c r="T118" i="41"/>
  <c r="Q119" i="41"/>
  <c r="S119" i="41"/>
  <c r="T119" i="41"/>
  <c r="Q120" i="41"/>
  <c r="R120" i="41"/>
  <c r="S120" i="41"/>
  <c r="T120" i="41"/>
  <c r="R121" i="41"/>
  <c r="S121" i="41"/>
  <c r="R122" i="41"/>
  <c r="S122" i="41"/>
  <c r="R123" i="41"/>
  <c r="S123" i="41"/>
  <c r="R124" i="41"/>
  <c r="S124" i="41"/>
  <c r="R125" i="41"/>
  <c r="S125" i="41"/>
  <c r="R126" i="41"/>
  <c r="S126" i="41"/>
  <c r="R127" i="41"/>
  <c r="S127" i="41"/>
  <c r="R128" i="41"/>
  <c r="S128" i="41"/>
  <c r="R129" i="41"/>
  <c r="S129" i="41"/>
  <c r="S130" i="41"/>
  <c r="S131" i="41"/>
  <c r="S132" i="41"/>
  <c r="S133" i="41"/>
  <c r="R134" i="41"/>
  <c r="S134" i="41"/>
  <c r="X88" i="41"/>
  <c r="C100" i="41"/>
  <c r="D100" i="41"/>
  <c r="E100" i="41"/>
  <c r="F100" i="41"/>
  <c r="G100" i="41"/>
  <c r="H100" i="41"/>
  <c r="I100" i="41"/>
  <c r="D101" i="41"/>
  <c r="E101" i="41"/>
  <c r="F101" i="41"/>
  <c r="G101" i="41"/>
  <c r="H101" i="41"/>
  <c r="D102" i="41"/>
  <c r="E102" i="41"/>
  <c r="F102" i="41"/>
  <c r="G102" i="41"/>
  <c r="H102" i="41"/>
  <c r="D103" i="41"/>
  <c r="E103" i="41"/>
  <c r="F103" i="41"/>
  <c r="G103" i="41"/>
  <c r="H103" i="41"/>
  <c r="D104" i="41"/>
  <c r="E104" i="41"/>
  <c r="F104" i="41"/>
  <c r="G104" i="41"/>
  <c r="H104" i="41"/>
  <c r="D105" i="41"/>
  <c r="E105" i="41"/>
  <c r="F105" i="41"/>
  <c r="G105" i="41"/>
  <c r="H105" i="41"/>
  <c r="E106" i="41"/>
  <c r="F106" i="41"/>
  <c r="G106" i="41"/>
  <c r="E107" i="41"/>
  <c r="F107" i="41"/>
  <c r="G107" i="41"/>
  <c r="E108" i="41"/>
  <c r="F108" i="41"/>
  <c r="G108" i="41"/>
  <c r="E109" i="41"/>
  <c r="F109" i="41"/>
  <c r="G109" i="41"/>
  <c r="E110" i="41"/>
  <c r="F110" i="41"/>
  <c r="G110" i="41"/>
  <c r="E111" i="41"/>
  <c r="F111" i="41"/>
  <c r="G111" i="41"/>
  <c r="E112" i="41"/>
  <c r="F112" i="41"/>
  <c r="G112" i="41"/>
  <c r="E113" i="41"/>
  <c r="F113" i="41"/>
  <c r="G113" i="41"/>
  <c r="E114" i="41"/>
  <c r="F114" i="41"/>
  <c r="G114" i="41"/>
  <c r="F115" i="41"/>
  <c r="F116" i="41"/>
  <c r="F117" i="41"/>
  <c r="F118" i="41"/>
  <c r="F119" i="41"/>
  <c r="W87" i="41"/>
  <c r="M93" i="41"/>
  <c r="AL26" i="3096"/>
  <c r="E17" i="4"/>
  <c r="E3" i="4"/>
  <c r="E2" i="4"/>
  <c r="F25" i="4"/>
  <c r="E25" i="4"/>
  <c r="I40" i="32"/>
  <c r="I38" i="32"/>
  <c r="G48" i="4"/>
  <c r="H48" i="4"/>
  <c r="G63" i="4"/>
  <c r="G49" i="4"/>
  <c r="H63" i="4"/>
  <c r="H49" i="4"/>
  <c r="H107" i="4"/>
  <c r="J17" i="4"/>
  <c r="J3" i="4"/>
  <c r="G33" i="41"/>
  <c r="K17" i="4"/>
  <c r="K3" i="4"/>
  <c r="H33" i="41"/>
  <c r="L17" i="4"/>
  <c r="L3" i="4"/>
  <c r="I33" i="41"/>
  <c r="M17" i="4"/>
  <c r="M3" i="4"/>
  <c r="J33" i="41"/>
  <c r="N17" i="4"/>
  <c r="N3" i="4"/>
  <c r="K33" i="41"/>
  <c r="F96" i="41"/>
  <c r="N74" i="41"/>
  <c r="Q74" i="41"/>
  <c r="Z74" i="41"/>
  <c r="S74" i="41"/>
  <c r="T74" i="41"/>
  <c r="U74" i="41"/>
  <c r="V74" i="41"/>
  <c r="W74" i="41"/>
  <c r="X74" i="41"/>
  <c r="Y74" i="41"/>
  <c r="AA74" i="41"/>
  <c r="R74" i="41"/>
  <c r="AB74" i="41"/>
  <c r="AC74" i="41"/>
  <c r="AD74" i="41"/>
  <c r="AE74" i="41"/>
  <c r="AF74" i="41"/>
  <c r="AG74" i="41"/>
  <c r="AH74" i="41"/>
  <c r="AI74" i="41"/>
  <c r="AJ74" i="41"/>
  <c r="AK74" i="41"/>
  <c r="AL74" i="41"/>
  <c r="AM74" i="41"/>
  <c r="AN74" i="41"/>
  <c r="AO74" i="41"/>
  <c r="AP74" i="41"/>
  <c r="AQ74" i="41"/>
  <c r="AR74" i="41"/>
  <c r="AS74" i="41"/>
  <c r="AT74" i="41"/>
  <c r="AU74" i="41"/>
  <c r="AV74" i="41"/>
  <c r="AW74" i="41"/>
  <c r="AX74" i="41"/>
  <c r="AY74" i="41"/>
  <c r="AZ74" i="41"/>
  <c r="BA74" i="41"/>
  <c r="Z87" i="41"/>
  <c r="H3" i="3099"/>
  <c r="T3" i="4"/>
  <c r="T26" i="4"/>
  <c r="T72" i="4"/>
  <c r="T49" i="4"/>
  <c r="AD23" i="41"/>
  <c r="AC23" i="41"/>
  <c r="Q23" i="41"/>
  <c r="P23" i="41"/>
  <c r="D23" i="41"/>
  <c r="C23" i="41"/>
  <c r="BH23" i="41"/>
  <c r="BG23" i="41"/>
  <c r="AQ23" i="41"/>
  <c r="AP23" i="41"/>
  <c r="T96" i="4"/>
  <c r="F107" i="29"/>
  <c r="F108" i="4"/>
  <c r="F107" i="4"/>
  <c r="F110" i="29"/>
  <c r="A138" i="41"/>
  <c r="A139" i="41"/>
  <c r="A140" i="41"/>
  <c r="A141" i="41"/>
  <c r="A142" i="41"/>
  <c r="A143" i="41"/>
  <c r="A137" i="41"/>
  <c r="BG82" i="41"/>
  <c r="BG83" i="41"/>
  <c r="BG84" i="41"/>
  <c r="BG85" i="41"/>
  <c r="BG86" i="41"/>
  <c r="BG87" i="41"/>
  <c r="BG81" i="41"/>
  <c r="BE68" i="41"/>
  <c r="BE69" i="41"/>
  <c r="BE70" i="41"/>
  <c r="BE71" i="41"/>
  <c r="BE72" i="41"/>
  <c r="BE73" i="41"/>
  <c r="BE67" i="41"/>
  <c r="BE103" i="41"/>
  <c r="E79" i="33"/>
  <c r="AS82" i="41"/>
  <c r="AS83" i="41"/>
  <c r="AS84" i="41"/>
  <c r="AS85" i="41"/>
  <c r="AS86" i="41"/>
  <c r="AS87" i="41"/>
  <c r="AS81" i="41"/>
  <c r="A81" i="41"/>
  <c r="A82" i="41"/>
  <c r="A83" i="41"/>
  <c r="A84" i="41"/>
  <c r="A85" i="41"/>
  <c r="A86" i="41"/>
  <c r="A80" i="41"/>
  <c r="A68" i="41"/>
  <c r="A69" i="41"/>
  <c r="A70" i="41"/>
  <c r="A71" i="41"/>
  <c r="A72" i="41"/>
  <c r="A73" i="41"/>
  <c r="A67" i="41"/>
  <c r="H12" i="3099"/>
  <c r="G12" i="3099"/>
  <c r="H4" i="3099"/>
  <c r="H5" i="3099"/>
  <c r="H6" i="3099"/>
  <c r="H7" i="3099"/>
  <c r="H8" i="3099"/>
  <c r="E12" i="3099"/>
  <c r="J107" i="4"/>
  <c r="J108" i="4"/>
  <c r="O37" i="4"/>
  <c r="K60" i="4"/>
  <c r="K61" i="4"/>
  <c r="F111" i="29"/>
  <c r="B18" i="3099"/>
  <c r="H18" i="3099"/>
  <c r="A18" i="3099"/>
  <c r="B17" i="3099"/>
  <c r="H17" i="3099"/>
  <c r="A17" i="3099"/>
  <c r="B16" i="3099"/>
  <c r="H16" i="3099"/>
  <c r="A16" i="3099"/>
  <c r="B15" i="3099"/>
  <c r="H15" i="3099"/>
  <c r="A15" i="3099"/>
  <c r="B14" i="3099"/>
  <c r="H14" i="3099"/>
  <c r="A14" i="3099"/>
  <c r="B13" i="3099"/>
  <c r="A13" i="3099"/>
  <c r="F12" i="3099"/>
  <c r="D12" i="3099"/>
  <c r="C12" i="3099"/>
  <c r="B12" i="3099"/>
  <c r="G13" i="3099"/>
  <c r="H13" i="3099"/>
  <c r="F15" i="3099"/>
  <c r="E15" i="3099"/>
  <c r="F16" i="3099"/>
  <c r="E16" i="3099"/>
  <c r="F17" i="3099"/>
  <c r="E17" i="3099"/>
  <c r="F18" i="3099"/>
  <c r="E18" i="3099"/>
  <c r="F14" i="3099"/>
  <c r="E14" i="3099"/>
  <c r="F13" i="3099"/>
  <c r="E13" i="3099"/>
  <c r="D13" i="3099"/>
  <c r="D14" i="3099"/>
  <c r="G14" i="3099"/>
  <c r="D15" i="3099"/>
  <c r="G15" i="3099"/>
  <c r="D16" i="3099"/>
  <c r="G16" i="3099"/>
  <c r="D17" i="3099"/>
  <c r="G17" i="3099"/>
  <c r="D18" i="3099"/>
  <c r="G18" i="3099"/>
  <c r="C13" i="3099"/>
  <c r="C14" i="3099"/>
  <c r="C15" i="3099"/>
  <c r="C16" i="3099"/>
  <c r="C17" i="3099"/>
  <c r="C18" i="3099"/>
  <c r="BE104" i="41"/>
  <c r="BE102" i="41"/>
  <c r="AK207" i="3098"/>
  <c r="AO207" i="3098"/>
  <c r="F1" i="32"/>
  <c r="AK202" i="3098"/>
  <c r="AO202" i="3098"/>
  <c r="AM209" i="3098"/>
  <c r="AS209" i="3098"/>
  <c r="AM208" i="3098"/>
  <c r="AS208" i="3098"/>
  <c r="AM207" i="3098"/>
  <c r="AS207" i="3098"/>
  <c r="AM206" i="3098"/>
  <c r="AS206" i="3098"/>
  <c r="AM205" i="3098"/>
  <c r="AS205" i="3098"/>
  <c r="AM204" i="3098"/>
  <c r="AS204" i="3098"/>
  <c r="AM203" i="3098"/>
  <c r="AS203" i="3098"/>
  <c r="AM202" i="3098"/>
  <c r="AS202" i="3098"/>
  <c r="AM201" i="3098"/>
  <c r="AS201" i="3098"/>
  <c r="AM200" i="3098"/>
  <c r="AS200" i="3098"/>
  <c r="AL209" i="3098"/>
  <c r="AQ209" i="3098"/>
  <c r="AL208" i="3098"/>
  <c r="AQ208" i="3098"/>
  <c r="AL207" i="3098"/>
  <c r="AQ207" i="3098"/>
  <c r="AL206" i="3098"/>
  <c r="AQ206" i="3098"/>
  <c r="AL205" i="3098"/>
  <c r="AQ205" i="3098"/>
  <c r="AL204" i="3098"/>
  <c r="AQ204" i="3098"/>
  <c r="AL203" i="3098"/>
  <c r="AQ203" i="3098"/>
  <c r="AL202" i="3098"/>
  <c r="AL201" i="3098"/>
  <c r="AQ201" i="3098"/>
  <c r="AL200" i="3098"/>
  <c r="AQ200" i="3098"/>
  <c r="AK209" i="3098"/>
  <c r="AO209" i="3098"/>
  <c r="AK208" i="3098"/>
  <c r="AO208" i="3098"/>
  <c r="AK206" i="3098"/>
  <c r="AO206" i="3098"/>
  <c r="AK205" i="3098"/>
  <c r="AO205" i="3098"/>
  <c r="AK204" i="3098"/>
  <c r="AO204" i="3098"/>
  <c r="AK203" i="3098"/>
  <c r="AO203" i="3098"/>
  <c r="AK201" i="3098"/>
  <c r="AO201" i="3098"/>
  <c r="AK200" i="3098"/>
  <c r="AD209" i="3098"/>
  <c r="AD208" i="3098"/>
  <c r="AD207" i="3098"/>
  <c r="AD206" i="3098"/>
  <c r="AD205" i="3098"/>
  <c r="AD204" i="3098"/>
  <c r="AD203" i="3098"/>
  <c r="AD202" i="3098"/>
  <c r="AD201" i="3098"/>
  <c r="AD200" i="3098"/>
  <c r="AC209" i="3098"/>
  <c r="AC208" i="3098"/>
  <c r="AC207" i="3098"/>
  <c r="AC206" i="3098"/>
  <c r="AC205" i="3098"/>
  <c r="AC204" i="3098"/>
  <c r="AC203" i="3098"/>
  <c r="AC202" i="3098"/>
  <c r="AC201" i="3098"/>
  <c r="AC200" i="3098"/>
  <c r="AB211" i="3098"/>
  <c r="AC211" i="3098"/>
  <c r="AD211" i="3098"/>
  <c r="AB212" i="3098"/>
  <c r="AC212" i="3098"/>
  <c r="AB213" i="3098"/>
  <c r="AC213" i="3098"/>
  <c r="AB214" i="3098"/>
  <c r="AC214" i="3098"/>
  <c r="AB215" i="3098"/>
  <c r="AC215" i="3098"/>
  <c r="AB216" i="3098"/>
  <c r="AC216" i="3098"/>
  <c r="AB217" i="3098"/>
  <c r="AC217" i="3098"/>
  <c r="AD217" i="3098"/>
  <c r="AB218" i="3098"/>
  <c r="AC218" i="3098"/>
  <c r="AB219" i="3098"/>
  <c r="AC219" i="3098"/>
  <c r="BK73" i="41"/>
  <c r="BI70" i="41"/>
  <c r="F2" i="4"/>
  <c r="G2" i="4"/>
  <c r="H2" i="4"/>
  <c r="I2" i="4"/>
  <c r="J2" i="4"/>
  <c r="K2" i="4"/>
  <c r="L2" i="4"/>
  <c r="M2" i="4"/>
  <c r="N2" i="4"/>
  <c r="O2" i="4"/>
  <c r="P2" i="4"/>
  <c r="Q2" i="4"/>
  <c r="AG202" i="3098"/>
  <c r="AH201" i="3098"/>
  <c r="AD219" i="3098"/>
  <c r="AD218" i="3098"/>
  <c r="AD215" i="3098"/>
  <c r="AD213" i="3098"/>
  <c r="AD216" i="3098"/>
  <c r="AD214" i="3098"/>
  <c r="AD212" i="3098"/>
  <c r="AH204" i="3098"/>
  <c r="AV207" i="3098"/>
  <c r="AG208" i="3098"/>
  <c r="AQ202" i="3098"/>
  <c r="AW202" i="3098"/>
  <c r="AO200" i="3098"/>
  <c r="AO214" i="3098"/>
  <c r="AQ214" i="3098"/>
  <c r="AH209" i="3098"/>
  <c r="AH207" i="3098"/>
  <c r="AV206" i="3098"/>
  <c r="AH206" i="3098"/>
  <c r="AI200" i="3098"/>
  <c r="AE203" i="3098"/>
  <c r="AH200" i="3098"/>
  <c r="AI204" i="3098"/>
  <c r="AG204" i="3098"/>
  <c r="AH202" i="3098"/>
  <c r="AI201" i="3098"/>
  <c r="AG201" i="3098"/>
  <c r="AE204" i="3098"/>
  <c r="AE200" i="3098"/>
  <c r="AI202" i="3098"/>
  <c r="AV209" i="3098"/>
  <c r="AW201" i="3098"/>
  <c r="AH205" i="3098"/>
  <c r="AI205" i="3098"/>
  <c r="AG205" i="3098"/>
  <c r="AV205" i="3098"/>
  <c r="AW205" i="3098"/>
  <c r="AW206" i="3098"/>
  <c r="AW207" i="3098"/>
  <c r="AI209" i="3098"/>
  <c r="AG209" i="3098"/>
  <c r="AH208" i="3098"/>
  <c r="AI207" i="3098"/>
  <c r="AG207" i="3098"/>
  <c r="AI208" i="3098"/>
  <c r="AI206" i="3098"/>
  <c r="AG206" i="3098"/>
  <c r="AV208" i="3098"/>
  <c r="AW208" i="3098"/>
  <c r="AW209" i="3098"/>
  <c r="AI203" i="3098"/>
  <c r="AG203" i="3098"/>
  <c r="AH203" i="3098"/>
  <c r="AW204" i="3098"/>
  <c r="AV204" i="3098"/>
  <c r="AV201" i="3098"/>
  <c r="AV203" i="3098"/>
  <c r="AQ213" i="3098"/>
  <c r="AW203" i="3098"/>
  <c r="AQ211" i="3098"/>
  <c r="AQ212" i="3098"/>
  <c r="AE209" i="3098"/>
  <c r="AE207" i="3098"/>
  <c r="AE205" i="3098"/>
  <c r="AE201" i="3098"/>
  <c r="AE208" i="3098"/>
  <c r="AE206" i="3098"/>
  <c r="AE202" i="3098"/>
  <c r="D117" i="29"/>
  <c r="D118" i="29"/>
  <c r="D119" i="29"/>
  <c r="AZ206" i="3098"/>
  <c r="AP212" i="3098"/>
  <c r="AP213" i="3098"/>
  <c r="AV202" i="3098"/>
  <c r="AX202" i="3098"/>
  <c r="AP214" i="3098"/>
  <c r="AO212" i="3098"/>
  <c r="AV200" i="3098"/>
  <c r="AO211" i="3098"/>
  <c r="AX207" i="3098"/>
  <c r="AP211" i="3098"/>
  <c r="AO213" i="3098"/>
  <c r="AW200" i="3098"/>
  <c r="AZ205" i="3098"/>
  <c r="AZ207" i="3098"/>
  <c r="AX208" i="3098"/>
  <c r="AX201" i="3098"/>
  <c r="AX209" i="3098"/>
  <c r="AX205" i="3098"/>
  <c r="AX206" i="3098"/>
  <c r="BA206" i="3098"/>
  <c r="E113" i="29"/>
  <c r="AZ209" i="3098"/>
  <c r="AZ208" i="3098"/>
  <c r="AX204" i="3098"/>
  <c r="AZ204" i="3098"/>
  <c r="AZ201" i="3098"/>
  <c r="AX203" i="3098"/>
  <c r="AZ203" i="3098"/>
  <c r="G1" i="32"/>
  <c r="H1" i="32"/>
  <c r="E60" i="4"/>
  <c r="E61" i="4"/>
  <c r="AZ202" i="3098"/>
  <c r="BA202" i="3098"/>
  <c r="E109" i="29"/>
  <c r="AZ200" i="3098"/>
  <c r="BA207" i="3098"/>
  <c r="E114" i="29"/>
  <c r="AX200" i="3098"/>
  <c r="BA200" i="3098"/>
  <c r="E107" i="29"/>
  <c r="BA205" i="3098"/>
  <c r="E112" i="29"/>
  <c r="BA201" i="3098"/>
  <c r="E108" i="29"/>
  <c r="BA209" i="3098"/>
  <c r="E116" i="29"/>
  <c r="BA208" i="3098"/>
  <c r="E115" i="29"/>
  <c r="BA203" i="3098"/>
  <c r="E110" i="29"/>
  <c r="BA204" i="3098"/>
  <c r="E111" i="29"/>
  <c r="B1" i="41"/>
  <c r="O1" i="41"/>
  <c r="AB1" i="41"/>
  <c r="AO1" i="41"/>
  <c r="BF1" i="41"/>
  <c r="B2" i="41"/>
  <c r="BB2" i="41"/>
  <c r="BC2" i="41"/>
  <c r="B21" i="41"/>
  <c r="AO24" i="41"/>
  <c r="BF24" i="41"/>
  <c r="O25" i="41"/>
  <c r="AB25" i="41"/>
  <c r="AO25" i="41"/>
  <c r="BF25" i="41"/>
  <c r="O26" i="41"/>
  <c r="AB26" i="41"/>
  <c r="AO26" i="41"/>
  <c r="BF26" i="41"/>
  <c r="O27" i="41"/>
  <c r="AB27" i="41"/>
  <c r="AO27" i="41"/>
  <c r="BF27" i="41"/>
  <c r="H28" i="41"/>
  <c r="I27" i="41"/>
  <c r="B22" i="41"/>
  <c r="O28" i="41"/>
  <c r="AB28" i="41"/>
  <c r="AO28" i="41"/>
  <c r="BF28" i="41"/>
  <c r="O29" i="41"/>
  <c r="AB29" i="41"/>
  <c r="AO29" i="41"/>
  <c r="BF29" i="41"/>
  <c r="O30" i="41"/>
  <c r="AB30" i="41"/>
  <c r="AO30" i="41"/>
  <c r="BF30" i="41"/>
  <c r="B66" i="41"/>
  <c r="B3" i="41"/>
  <c r="C66" i="41"/>
  <c r="C3" i="41"/>
  <c r="D66" i="41"/>
  <c r="D3" i="41"/>
  <c r="E66" i="41"/>
  <c r="E3" i="41"/>
  <c r="F66" i="41"/>
  <c r="F3" i="41"/>
  <c r="G66" i="41"/>
  <c r="G3" i="41"/>
  <c r="H66" i="41"/>
  <c r="H3" i="41"/>
  <c r="I66" i="41"/>
  <c r="I3" i="41"/>
  <c r="J66" i="41"/>
  <c r="J3" i="41"/>
  <c r="K66" i="41"/>
  <c r="K3" i="41"/>
  <c r="L66" i="41"/>
  <c r="L3" i="41"/>
  <c r="M66" i="41"/>
  <c r="M3" i="41"/>
  <c r="N66" i="41"/>
  <c r="N3" i="41"/>
  <c r="B137" i="41"/>
  <c r="D137" i="41"/>
  <c r="F137" i="41"/>
  <c r="H137" i="41"/>
  <c r="J137" i="41"/>
  <c r="L137" i="41"/>
  <c r="N137" i="41"/>
  <c r="P137" i="41"/>
  <c r="Q67" i="41"/>
  <c r="R67" i="41"/>
  <c r="R137" i="41"/>
  <c r="S67" i="41"/>
  <c r="T67" i="41"/>
  <c r="U67" i="41"/>
  <c r="V67" i="41"/>
  <c r="W67" i="41"/>
  <c r="X67" i="41"/>
  <c r="Y67" i="41"/>
  <c r="Z67" i="41"/>
  <c r="AA67" i="41"/>
  <c r="AB67" i="41"/>
  <c r="AB137" i="41"/>
  <c r="AC67" i="41"/>
  <c r="AC137" i="41"/>
  <c r="AD67" i="41"/>
  <c r="AD137" i="41"/>
  <c r="AE67" i="41"/>
  <c r="AF67" i="41"/>
  <c r="AF137" i="41"/>
  <c r="AG67" i="41"/>
  <c r="AH67" i="41"/>
  <c r="AH137" i="41"/>
  <c r="AI67" i="41"/>
  <c r="AJ67" i="41"/>
  <c r="AJ137" i="41"/>
  <c r="AK67" i="41"/>
  <c r="AL67" i="41"/>
  <c r="AL137" i="41"/>
  <c r="AM67" i="41"/>
  <c r="AM137" i="41"/>
  <c r="AN67" i="41"/>
  <c r="AN137" i="41"/>
  <c r="AO67" i="41"/>
  <c r="AP67" i="41"/>
  <c r="AP137" i="41"/>
  <c r="AQ67" i="41"/>
  <c r="AR67" i="41"/>
  <c r="AR137" i="41"/>
  <c r="AS67" i="41"/>
  <c r="AT67" i="41"/>
  <c r="AT137" i="41"/>
  <c r="AU67" i="41"/>
  <c r="AV67" i="41"/>
  <c r="AV137" i="41"/>
  <c r="AW67" i="41"/>
  <c r="AX67" i="41"/>
  <c r="AX137" i="41"/>
  <c r="AY67" i="41"/>
  <c r="AZ67" i="41"/>
  <c r="BA67" i="41"/>
  <c r="BF67" i="41"/>
  <c r="BG67" i="41"/>
  <c r="BH67" i="41"/>
  <c r="BI67" i="41"/>
  <c r="BJ67" i="41"/>
  <c r="BK67" i="41"/>
  <c r="BL67" i="41"/>
  <c r="BM67" i="41"/>
  <c r="BN67" i="41"/>
  <c r="BO67" i="41"/>
  <c r="BQ67" i="41"/>
  <c r="BR67" i="41"/>
  <c r="B138" i="41"/>
  <c r="C138" i="41"/>
  <c r="E138" i="41"/>
  <c r="F138" i="41"/>
  <c r="G138" i="41"/>
  <c r="H138" i="41"/>
  <c r="I138" i="41"/>
  <c r="J138" i="41"/>
  <c r="K68" i="41"/>
  <c r="K138" i="41"/>
  <c r="M138" i="41"/>
  <c r="N138" i="41"/>
  <c r="O68" i="41"/>
  <c r="P138" i="41"/>
  <c r="Q68" i="41"/>
  <c r="Q138" i="41"/>
  <c r="R68" i="41"/>
  <c r="R138" i="41"/>
  <c r="S68" i="41"/>
  <c r="T68" i="41"/>
  <c r="T138" i="41"/>
  <c r="U68" i="41"/>
  <c r="V68" i="41"/>
  <c r="V138" i="41"/>
  <c r="W68" i="41"/>
  <c r="X68" i="41"/>
  <c r="X138" i="41"/>
  <c r="Y68" i="41"/>
  <c r="Z68" i="41"/>
  <c r="Z138" i="41"/>
  <c r="AA68" i="41"/>
  <c r="AB68" i="41"/>
  <c r="AB138" i="41"/>
  <c r="AC68" i="41"/>
  <c r="AC138" i="41"/>
  <c r="AD68" i="41"/>
  <c r="AD138" i="41"/>
  <c r="AE68" i="41"/>
  <c r="AF68" i="41"/>
  <c r="AF138" i="41"/>
  <c r="AG68" i="41"/>
  <c r="AH68" i="41"/>
  <c r="AH138" i="41"/>
  <c r="AI68" i="41"/>
  <c r="AJ68" i="41"/>
  <c r="AJ138" i="41"/>
  <c r="AK68" i="41"/>
  <c r="AL68" i="41"/>
  <c r="AL138" i="41"/>
  <c r="AM68" i="41"/>
  <c r="AM138" i="41"/>
  <c r="AN68" i="41"/>
  <c r="AN138" i="41"/>
  <c r="AO68" i="41"/>
  <c r="AP68" i="41"/>
  <c r="AP138" i="41"/>
  <c r="AQ68" i="41"/>
  <c r="AR68" i="41"/>
  <c r="AR138" i="41"/>
  <c r="AS68" i="41"/>
  <c r="AT68" i="41"/>
  <c r="AT138" i="41"/>
  <c r="AU68" i="41"/>
  <c r="AV68" i="41"/>
  <c r="AV138" i="41"/>
  <c r="AW68" i="41"/>
  <c r="AX68" i="41"/>
  <c r="AX138" i="41"/>
  <c r="AY68" i="41"/>
  <c r="AZ68" i="41"/>
  <c r="AZ138" i="41"/>
  <c r="BA68" i="41"/>
  <c r="BF68" i="41"/>
  <c r="BG68" i="41"/>
  <c r="BH68" i="41"/>
  <c r="BI68" i="41"/>
  <c r="BJ68" i="41"/>
  <c r="BK68" i="41"/>
  <c r="BL68" i="41"/>
  <c r="BM68" i="41"/>
  <c r="BN68" i="41"/>
  <c r="BO68" i="41"/>
  <c r="BP68" i="41"/>
  <c r="BQ68" i="41"/>
  <c r="BR68" i="41"/>
  <c r="B139" i="41"/>
  <c r="C139" i="41"/>
  <c r="D139" i="41"/>
  <c r="E139" i="41"/>
  <c r="F139" i="41"/>
  <c r="G139" i="41"/>
  <c r="H139" i="41"/>
  <c r="J139" i="41"/>
  <c r="K139" i="41"/>
  <c r="L139" i="41"/>
  <c r="M139" i="41"/>
  <c r="N139" i="41"/>
  <c r="O69" i="41"/>
  <c r="O139" i="41"/>
  <c r="Q69" i="41"/>
  <c r="Q139" i="41"/>
  <c r="R69" i="41"/>
  <c r="S69" i="41"/>
  <c r="S139" i="41"/>
  <c r="T69" i="41"/>
  <c r="U69" i="41"/>
  <c r="U139" i="41"/>
  <c r="V69" i="41"/>
  <c r="W69" i="41"/>
  <c r="W139" i="41"/>
  <c r="X69" i="41"/>
  <c r="Y69" i="41"/>
  <c r="Y139" i="41"/>
  <c r="Z69" i="41"/>
  <c r="AA69" i="41"/>
  <c r="AA139" i="41"/>
  <c r="AB69" i="41"/>
  <c r="AC69" i="41"/>
  <c r="AC139" i="41"/>
  <c r="AD69" i="41"/>
  <c r="AD139" i="41"/>
  <c r="AE69" i="41"/>
  <c r="AE139" i="41"/>
  <c r="AF69" i="41"/>
  <c r="AG69" i="41"/>
  <c r="AG139" i="41"/>
  <c r="AH69" i="41"/>
  <c r="AI69" i="41"/>
  <c r="AI139" i="41"/>
  <c r="AJ69" i="41"/>
  <c r="AK69" i="41"/>
  <c r="AK139" i="41"/>
  <c r="AL69" i="41"/>
  <c r="AL139" i="41"/>
  <c r="AM69" i="41"/>
  <c r="AM139" i="41"/>
  <c r="AN69" i="41"/>
  <c r="AN139" i="41"/>
  <c r="AO69" i="41"/>
  <c r="AO139" i="41"/>
  <c r="AP69" i="41"/>
  <c r="AQ69" i="41"/>
  <c r="AQ139" i="41"/>
  <c r="AR69" i="41"/>
  <c r="AS69" i="41"/>
  <c r="AS139" i="41"/>
  <c r="AT69" i="41"/>
  <c r="AU69" i="41"/>
  <c r="AV69" i="41"/>
  <c r="AW69" i="41"/>
  <c r="AW139" i="41"/>
  <c r="AX69" i="41"/>
  <c r="AY69" i="41"/>
  <c r="AY139" i="41"/>
  <c r="AZ69" i="41"/>
  <c r="BA69" i="41"/>
  <c r="BA139" i="41"/>
  <c r="BF69" i="41"/>
  <c r="BG69" i="41"/>
  <c r="BH69" i="41"/>
  <c r="BI69" i="41"/>
  <c r="BJ69" i="41"/>
  <c r="BK69" i="41"/>
  <c r="BL69" i="41"/>
  <c r="BM69" i="41"/>
  <c r="BN69" i="41"/>
  <c r="BO69" i="41"/>
  <c r="BP69" i="41"/>
  <c r="BQ69" i="41"/>
  <c r="BR69" i="41"/>
  <c r="C140" i="41"/>
  <c r="D140" i="41"/>
  <c r="E140" i="41"/>
  <c r="F140" i="41"/>
  <c r="G140" i="41"/>
  <c r="H140" i="41"/>
  <c r="I140" i="41"/>
  <c r="K140" i="41"/>
  <c r="L140" i="41"/>
  <c r="M140" i="41"/>
  <c r="N140" i="41"/>
  <c r="O70" i="41"/>
  <c r="P140" i="41"/>
  <c r="Q70" i="41"/>
  <c r="R70" i="41"/>
  <c r="R140" i="41"/>
  <c r="S70" i="41"/>
  <c r="T70" i="41"/>
  <c r="T140" i="41"/>
  <c r="U70" i="41"/>
  <c r="V70" i="41"/>
  <c r="V140" i="41"/>
  <c r="W70" i="41"/>
  <c r="X70" i="41"/>
  <c r="X140" i="41"/>
  <c r="Y70" i="41"/>
  <c r="Z70" i="41"/>
  <c r="Z140" i="41"/>
  <c r="AA70" i="41"/>
  <c r="AB70" i="41"/>
  <c r="AB140" i="41"/>
  <c r="AC70" i="41"/>
  <c r="AC140" i="41"/>
  <c r="AD70" i="41"/>
  <c r="AD140" i="41"/>
  <c r="AE70" i="41"/>
  <c r="AE140" i="41"/>
  <c r="AF70" i="41"/>
  <c r="AF140" i="41"/>
  <c r="AG70" i="41"/>
  <c r="AH70" i="41"/>
  <c r="AH140" i="41"/>
  <c r="AI70" i="41"/>
  <c r="AJ70" i="41"/>
  <c r="AJ140" i="41"/>
  <c r="AK70" i="41"/>
  <c r="AK140" i="41"/>
  <c r="AL70" i="41"/>
  <c r="AM70" i="41"/>
  <c r="AM140" i="41"/>
  <c r="AN70" i="41"/>
  <c r="AN140" i="41"/>
  <c r="AO70" i="41"/>
  <c r="AP70" i="41"/>
  <c r="AP140" i="41"/>
  <c r="AQ70" i="41"/>
  <c r="AR70" i="41"/>
  <c r="AR140" i="41"/>
  <c r="AS70" i="41"/>
  <c r="AT70" i="41"/>
  <c r="AT140" i="41"/>
  <c r="AU70" i="41"/>
  <c r="AV70" i="41"/>
  <c r="AV140" i="41"/>
  <c r="AW70" i="41"/>
  <c r="AX70" i="41"/>
  <c r="AX140" i="41"/>
  <c r="AY70" i="41"/>
  <c r="AZ70" i="41"/>
  <c r="AZ140" i="41"/>
  <c r="BA70" i="41"/>
  <c r="BF70" i="41"/>
  <c r="BG70" i="41"/>
  <c r="BH70" i="41"/>
  <c r="BJ70" i="41"/>
  <c r="BK70" i="41"/>
  <c r="BL70" i="41"/>
  <c r="BM70" i="41"/>
  <c r="BN70" i="41"/>
  <c r="BO70" i="41"/>
  <c r="BP70" i="41"/>
  <c r="BQ70" i="41"/>
  <c r="BR70" i="41"/>
  <c r="B141" i="41"/>
  <c r="C141" i="41"/>
  <c r="E141" i="41"/>
  <c r="F141" i="41"/>
  <c r="G141" i="41"/>
  <c r="H141" i="41"/>
  <c r="I141" i="41"/>
  <c r="J141" i="41"/>
  <c r="K141" i="41"/>
  <c r="L141" i="41"/>
  <c r="M141" i="41"/>
  <c r="Q71" i="41"/>
  <c r="R71" i="41"/>
  <c r="S71" i="41"/>
  <c r="T71" i="41"/>
  <c r="U71" i="41"/>
  <c r="V71" i="41"/>
  <c r="W71" i="41"/>
  <c r="X71" i="41"/>
  <c r="X141" i="41"/>
  <c r="Y71" i="41"/>
  <c r="Y141" i="41"/>
  <c r="Z71" i="41"/>
  <c r="AA71" i="41"/>
  <c r="AB71" i="41"/>
  <c r="AB141" i="41"/>
  <c r="AC71" i="41"/>
  <c r="AD71" i="41"/>
  <c r="AD141" i="41"/>
  <c r="AE71" i="41"/>
  <c r="AF71" i="41"/>
  <c r="AF141" i="41"/>
  <c r="AG71" i="41"/>
  <c r="AG141" i="41"/>
  <c r="AH71" i="41"/>
  <c r="AI71" i="41"/>
  <c r="AJ71" i="41"/>
  <c r="AK71" i="41"/>
  <c r="AL71" i="41"/>
  <c r="AL141" i="41"/>
  <c r="AM71" i="41"/>
  <c r="AM141" i="41"/>
  <c r="AN71" i="41"/>
  <c r="AN141" i="41"/>
  <c r="AO71" i="41"/>
  <c r="AP71" i="41"/>
  <c r="AP141" i="41"/>
  <c r="AQ71" i="41"/>
  <c r="AR71" i="41"/>
  <c r="AS71" i="41"/>
  <c r="AT71" i="41"/>
  <c r="AU71" i="41"/>
  <c r="AV71" i="41"/>
  <c r="AW71" i="41"/>
  <c r="AX71" i="41"/>
  <c r="AX141" i="41"/>
  <c r="AY71" i="41"/>
  <c r="AZ71" i="41"/>
  <c r="AZ141" i="41"/>
  <c r="BA71" i="41"/>
  <c r="BF71" i="41"/>
  <c r="BG71" i="41"/>
  <c r="BH71" i="41"/>
  <c r="BI71" i="41"/>
  <c r="BJ71" i="41"/>
  <c r="BK71" i="41"/>
  <c r="BL71" i="41"/>
  <c r="BM71" i="41"/>
  <c r="BN71" i="41"/>
  <c r="BO71" i="41"/>
  <c r="BP71" i="41"/>
  <c r="BQ71" i="41"/>
  <c r="BR71" i="41"/>
  <c r="B142" i="41"/>
  <c r="C142" i="41"/>
  <c r="E142" i="41"/>
  <c r="F142" i="41"/>
  <c r="G142" i="41"/>
  <c r="I142" i="41"/>
  <c r="J142" i="41"/>
  <c r="K142" i="41"/>
  <c r="L142" i="41"/>
  <c r="M142" i="41"/>
  <c r="N142" i="41"/>
  <c r="O142" i="41"/>
  <c r="Q72" i="41"/>
  <c r="Q142" i="41"/>
  <c r="R72" i="41"/>
  <c r="S72" i="41"/>
  <c r="S142" i="41"/>
  <c r="T72" i="41"/>
  <c r="U72" i="41"/>
  <c r="U142" i="41"/>
  <c r="V72" i="41"/>
  <c r="W72" i="41"/>
  <c r="W142" i="41"/>
  <c r="X72" i="41"/>
  <c r="Y72" i="41"/>
  <c r="Y142" i="41"/>
  <c r="Z72" i="41"/>
  <c r="AA72" i="41"/>
  <c r="AA142" i="41"/>
  <c r="AB72" i="41"/>
  <c r="AC72" i="41"/>
  <c r="AC142" i="41"/>
  <c r="AD72" i="41"/>
  <c r="AE72" i="41"/>
  <c r="AE142" i="41"/>
  <c r="AF72" i="41"/>
  <c r="AG72" i="41"/>
  <c r="AG142" i="41"/>
  <c r="AH72" i="41"/>
  <c r="AI72" i="41"/>
  <c r="AI142" i="41"/>
  <c r="AJ72" i="41"/>
  <c r="AK72" i="41"/>
  <c r="AK142" i="41"/>
  <c r="AL72" i="41"/>
  <c r="AL142" i="41"/>
  <c r="AM72" i="41"/>
  <c r="AM142" i="41"/>
  <c r="AN72" i="41"/>
  <c r="AN142" i="41"/>
  <c r="AO72" i="41"/>
  <c r="AP72" i="41"/>
  <c r="AQ72" i="41"/>
  <c r="AR72" i="41"/>
  <c r="AS72" i="41"/>
  <c r="AT72" i="41"/>
  <c r="AU72" i="41"/>
  <c r="AU142" i="41"/>
  <c r="AV72" i="41"/>
  <c r="AW72" i="41"/>
  <c r="AW142" i="41"/>
  <c r="AX72" i="41"/>
  <c r="AY72" i="41"/>
  <c r="AY142" i="41"/>
  <c r="AZ72" i="41"/>
  <c r="BA72" i="41"/>
  <c r="BA142" i="41"/>
  <c r="BF72" i="41"/>
  <c r="BG72" i="41"/>
  <c r="BH72" i="41"/>
  <c r="BI72" i="41"/>
  <c r="BJ72" i="41"/>
  <c r="BK72" i="41"/>
  <c r="BL72" i="41"/>
  <c r="BM72" i="41"/>
  <c r="BN72" i="41"/>
  <c r="BO72" i="41"/>
  <c r="BP72" i="41"/>
  <c r="BQ72" i="41"/>
  <c r="BR72" i="41"/>
  <c r="B143" i="41"/>
  <c r="D143" i="41"/>
  <c r="E143" i="41"/>
  <c r="F143" i="41"/>
  <c r="H143" i="41"/>
  <c r="I143" i="41"/>
  <c r="J143" i="41"/>
  <c r="L143" i="41"/>
  <c r="M143" i="41"/>
  <c r="N73" i="41"/>
  <c r="N143" i="41"/>
  <c r="P143" i="41"/>
  <c r="Q73" i="41"/>
  <c r="R73" i="41"/>
  <c r="R143" i="41"/>
  <c r="S73" i="41"/>
  <c r="T73" i="41"/>
  <c r="T143" i="41"/>
  <c r="U73" i="41"/>
  <c r="V73" i="41"/>
  <c r="V143" i="41"/>
  <c r="W73" i="41"/>
  <c r="X73" i="41"/>
  <c r="X143" i="41"/>
  <c r="Y73" i="41"/>
  <c r="Y143" i="41"/>
  <c r="Z73" i="41"/>
  <c r="Z143" i="41"/>
  <c r="AA73" i="41"/>
  <c r="AB73" i="41"/>
  <c r="AB143" i="41"/>
  <c r="AC73" i="41"/>
  <c r="AD73" i="41"/>
  <c r="AD143" i="41"/>
  <c r="AE73" i="41"/>
  <c r="AF73" i="41"/>
  <c r="AF143" i="41"/>
  <c r="AG73" i="41"/>
  <c r="AG143" i="41"/>
  <c r="AH73" i="41"/>
  <c r="AH143" i="41"/>
  <c r="AI73" i="41"/>
  <c r="AI143" i="41"/>
  <c r="AJ73" i="41"/>
  <c r="AJ143" i="41"/>
  <c r="AK73" i="41"/>
  <c r="AL73" i="41"/>
  <c r="AL143" i="41"/>
  <c r="AM73" i="41"/>
  <c r="AM143" i="41"/>
  <c r="AN73" i="41"/>
  <c r="AN143" i="41"/>
  <c r="AO73" i="41"/>
  <c r="AO143" i="41"/>
  <c r="AP73" i="41"/>
  <c r="AP143" i="41"/>
  <c r="AQ73" i="41"/>
  <c r="AR73" i="41"/>
  <c r="AR143" i="41"/>
  <c r="AS73" i="41"/>
  <c r="AS143" i="41"/>
  <c r="AT73" i="41"/>
  <c r="AU73" i="41"/>
  <c r="AV73" i="41"/>
  <c r="AV143" i="41"/>
  <c r="AW73" i="41"/>
  <c r="AX73" i="41"/>
  <c r="AX143" i="41"/>
  <c r="AY73" i="41"/>
  <c r="AZ73" i="41"/>
  <c r="AZ143" i="41"/>
  <c r="BA73" i="41"/>
  <c r="BF73" i="41"/>
  <c r="BG73" i="41"/>
  <c r="BH73" i="41"/>
  <c r="BI73" i="41"/>
  <c r="BJ73" i="41"/>
  <c r="BL73" i="41"/>
  <c r="BM73" i="41"/>
  <c r="BN73" i="41"/>
  <c r="BO73" i="41"/>
  <c r="BP73" i="41"/>
  <c r="BQ73" i="41"/>
  <c r="BR73" i="41"/>
  <c r="B144" i="41"/>
  <c r="D144" i="41"/>
  <c r="F144" i="41"/>
  <c r="H144" i="41"/>
  <c r="J144" i="41"/>
  <c r="U144" i="41"/>
  <c r="V144" i="41"/>
  <c r="X144" i="41"/>
  <c r="Z144" i="41"/>
  <c r="AA144" i="41"/>
  <c r="AB144" i="41"/>
  <c r="AD144" i="41"/>
  <c r="AF144" i="41"/>
  <c r="AG144" i="41"/>
  <c r="AH144" i="41"/>
  <c r="AI144" i="41"/>
  <c r="AJ144" i="41"/>
  <c r="AL144" i="41"/>
  <c r="AM144" i="41"/>
  <c r="AN144" i="41"/>
  <c r="AP144" i="41"/>
  <c r="AR144" i="41"/>
  <c r="AU144" i="41"/>
  <c r="AV144" i="41"/>
  <c r="AX144" i="41"/>
  <c r="AZ144" i="41"/>
  <c r="BF74" i="41"/>
  <c r="BG74" i="41"/>
  <c r="BH74" i="41"/>
  <c r="BI74" i="41"/>
  <c r="BJ74" i="41"/>
  <c r="BK74" i="41"/>
  <c r="BL74" i="41"/>
  <c r="BM74" i="41"/>
  <c r="BN74" i="41"/>
  <c r="BO74" i="41"/>
  <c r="BP74" i="41"/>
  <c r="BQ74" i="41"/>
  <c r="BR74" i="41"/>
  <c r="B145" i="41"/>
  <c r="E76" i="41"/>
  <c r="F145" i="41"/>
  <c r="I75" i="41"/>
  <c r="J75" i="41"/>
  <c r="J145" i="41"/>
  <c r="K76" i="41"/>
  <c r="L145" i="41"/>
  <c r="M75" i="41"/>
  <c r="N75" i="41"/>
  <c r="N145" i="41"/>
  <c r="Q75" i="41"/>
  <c r="Q76" i="41"/>
  <c r="R75" i="41"/>
  <c r="S75" i="41"/>
  <c r="S76" i="41"/>
  <c r="T75" i="41"/>
  <c r="U75" i="41"/>
  <c r="U76" i="41"/>
  <c r="V75" i="41"/>
  <c r="W75" i="41"/>
  <c r="W76" i="41"/>
  <c r="X75" i="41"/>
  <c r="Y75" i="41"/>
  <c r="Y76" i="41"/>
  <c r="Z75" i="41"/>
  <c r="AA75" i="41"/>
  <c r="AA76" i="41"/>
  <c r="AB75" i="41"/>
  <c r="AC75" i="41"/>
  <c r="AD75" i="41"/>
  <c r="AE75" i="41"/>
  <c r="AF75" i="41"/>
  <c r="AG75" i="41"/>
  <c r="AG76" i="41"/>
  <c r="AH75" i="41"/>
  <c r="AI75" i="41"/>
  <c r="AJ75" i="41"/>
  <c r="AK75" i="41"/>
  <c r="AK145" i="41"/>
  <c r="AL75" i="41"/>
  <c r="AM75" i="41"/>
  <c r="AM145" i="41"/>
  <c r="AN75" i="41"/>
  <c r="AO75" i="41"/>
  <c r="AO76" i="41"/>
  <c r="AP75" i="41"/>
  <c r="AP145" i="41"/>
  <c r="AQ75" i="41"/>
  <c r="AR75" i="41"/>
  <c r="AS75" i="41"/>
  <c r="AS76" i="41"/>
  <c r="AT75" i="41"/>
  <c r="AU75" i="41"/>
  <c r="AU76" i="41"/>
  <c r="AV75" i="41"/>
  <c r="AW75" i="41"/>
  <c r="AW76" i="41"/>
  <c r="AX75" i="41"/>
  <c r="AY75" i="41"/>
  <c r="AY76" i="41"/>
  <c r="AZ75" i="41"/>
  <c r="AZ145" i="41"/>
  <c r="BA75" i="41"/>
  <c r="BA76" i="41"/>
  <c r="BF75" i="41"/>
  <c r="BG75" i="41"/>
  <c r="BH75" i="41"/>
  <c r="BI75" i="41"/>
  <c r="BJ75" i="41"/>
  <c r="BK75" i="41"/>
  <c r="BL75" i="41"/>
  <c r="BM75" i="41"/>
  <c r="BN75" i="41"/>
  <c r="BO75" i="41"/>
  <c r="BP75" i="41"/>
  <c r="BQ75" i="41"/>
  <c r="BR75" i="41"/>
  <c r="N81" i="41"/>
  <c r="N82" i="41"/>
  <c r="N83" i="41"/>
  <c r="N84" i="41"/>
  <c r="N85" i="41"/>
  <c r="N86" i="41"/>
  <c r="N87" i="41"/>
  <c r="N88" i="41"/>
  <c r="N89" i="41"/>
  <c r="M92" i="41"/>
  <c r="BF95" i="41"/>
  <c r="B96" i="41"/>
  <c r="C96" i="41"/>
  <c r="D96" i="41"/>
  <c r="E96" i="41"/>
  <c r="G96" i="41"/>
  <c r="H96" i="41"/>
  <c r="I96" i="41"/>
  <c r="J96" i="41"/>
  <c r="K96" i="41"/>
  <c r="L96" i="41"/>
  <c r="L100" i="41"/>
  <c r="A136" i="41"/>
  <c r="B136" i="41"/>
  <c r="C136" i="41"/>
  <c r="D136" i="41"/>
  <c r="E136" i="41"/>
  <c r="F136" i="41"/>
  <c r="G136" i="41"/>
  <c r="H136" i="41"/>
  <c r="I136" i="41"/>
  <c r="J136" i="41"/>
  <c r="K136" i="41"/>
  <c r="L136" i="41"/>
  <c r="M136" i="41"/>
  <c r="N136" i="41"/>
  <c r="C137" i="41"/>
  <c r="E137" i="41"/>
  <c r="G137" i="41"/>
  <c r="I137" i="41"/>
  <c r="K137" i="41"/>
  <c r="M137" i="41"/>
  <c r="O137" i="41"/>
  <c r="Q137" i="41"/>
  <c r="S137" i="41"/>
  <c r="T137" i="41"/>
  <c r="U137" i="41"/>
  <c r="V137" i="41"/>
  <c r="W137" i="41"/>
  <c r="X137" i="41"/>
  <c r="Y137" i="41"/>
  <c r="Z137" i="41"/>
  <c r="AA137" i="41"/>
  <c r="AE137" i="41"/>
  <c r="AG137" i="41"/>
  <c r="AI137" i="41"/>
  <c r="AK137" i="41"/>
  <c r="AO137" i="41"/>
  <c r="AQ137" i="41"/>
  <c r="AS137" i="41"/>
  <c r="AU137" i="41"/>
  <c r="AW137" i="41"/>
  <c r="AY137" i="41"/>
  <c r="BA137" i="41"/>
  <c r="D138" i="41"/>
  <c r="L138" i="41"/>
  <c r="O138" i="41"/>
  <c r="S138" i="41"/>
  <c r="U138" i="41"/>
  <c r="W138" i="41"/>
  <c r="Y138" i="41"/>
  <c r="AA138" i="41"/>
  <c r="AE138" i="41"/>
  <c r="AG138" i="41"/>
  <c r="AI138" i="41"/>
  <c r="AK138" i="41"/>
  <c r="AO138" i="41"/>
  <c r="AQ138" i="41"/>
  <c r="AS138" i="41"/>
  <c r="AU138" i="41"/>
  <c r="AW138" i="41"/>
  <c r="AY138" i="41"/>
  <c r="BA138" i="41"/>
  <c r="I139" i="41"/>
  <c r="P139" i="41"/>
  <c r="R139" i="41"/>
  <c r="T139" i="41"/>
  <c r="V139" i="41"/>
  <c r="X139" i="41"/>
  <c r="Z139" i="41"/>
  <c r="AB139" i="41"/>
  <c r="AF139" i="41"/>
  <c r="AH139" i="41"/>
  <c r="AJ139" i="41"/>
  <c r="AP139" i="41"/>
  <c r="AR139" i="41"/>
  <c r="AT139" i="41"/>
  <c r="AV139" i="41"/>
  <c r="AX139" i="41"/>
  <c r="AZ139" i="41"/>
  <c r="B140" i="41"/>
  <c r="J140" i="41"/>
  <c r="O140" i="41"/>
  <c r="Q140" i="41"/>
  <c r="S140" i="41"/>
  <c r="U140" i="41"/>
  <c r="W140" i="41"/>
  <c r="Y140" i="41"/>
  <c r="AA140" i="41"/>
  <c r="AG140" i="41"/>
  <c r="AI140" i="41"/>
  <c r="AL140" i="41"/>
  <c r="AO140" i="41"/>
  <c r="AQ140" i="41"/>
  <c r="AS140" i="41"/>
  <c r="AU140" i="41"/>
  <c r="AW140" i="41"/>
  <c r="AY140" i="41"/>
  <c r="BA140" i="41"/>
  <c r="D141" i="41"/>
  <c r="N141" i="41"/>
  <c r="O141" i="41"/>
  <c r="P141" i="41"/>
  <c r="Q141" i="41"/>
  <c r="R141" i="41"/>
  <c r="S141" i="41"/>
  <c r="T141" i="41"/>
  <c r="U141" i="41"/>
  <c r="V141" i="41"/>
  <c r="W141" i="41"/>
  <c r="Z141" i="41"/>
  <c r="AA141" i="41"/>
  <c r="AC141" i="41"/>
  <c r="AE141" i="41"/>
  <c r="AH141" i="41"/>
  <c r="AI141" i="41"/>
  <c r="AJ141" i="41"/>
  <c r="AK141" i="41"/>
  <c r="AO141" i="41"/>
  <c r="AQ141" i="41"/>
  <c r="AR141" i="41"/>
  <c r="AS141" i="41"/>
  <c r="AT141" i="41"/>
  <c r="AU141" i="41"/>
  <c r="AV141" i="41"/>
  <c r="AW141" i="41"/>
  <c r="AY141" i="41"/>
  <c r="BA141" i="41"/>
  <c r="D142" i="41"/>
  <c r="H142" i="41"/>
  <c r="P142" i="41"/>
  <c r="R142" i="41"/>
  <c r="T142" i="41"/>
  <c r="V142" i="41"/>
  <c r="X142" i="41"/>
  <c r="Z142" i="41"/>
  <c r="AB142" i="41"/>
  <c r="AD142" i="41"/>
  <c r="AF142" i="41"/>
  <c r="AH142" i="41"/>
  <c r="AO142" i="41"/>
  <c r="AP142" i="41"/>
  <c r="AQ142" i="41"/>
  <c r="AR142" i="41"/>
  <c r="AS142" i="41"/>
  <c r="AV142" i="41"/>
  <c r="AX142" i="41"/>
  <c r="AZ142" i="41"/>
  <c r="C143" i="41"/>
  <c r="G143" i="41"/>
  <c r="K143" i="41"/>
  <c r="O143" i="41"/>
  <c r="Q143" i="41"/>
  <c r="S143" i="41"/>
  <c r="U143" i="41"/>
  <c r="W143" i="41"/>
  <c r="AA143" i="41"/>
  <c r="AC143" i="41"/>
  <c r="AE143" i="41"/>
  <c r="AK143" i="41"/>
  <c r="AQ143" i="41"/>
  <c r="AU143" i="41"/>
  <c r="AW143" i="41"/>
  <c r="AY143" i="41"/>
  <c r="BA143" i="41"/>
  <c r="C144" i="41"/>
  <c r="E144" i="41"/>
  <c r="G144" i="41"/>
  <c r="I144" i="41"/>
  <c r="K144" i="41"/>
  <c r="L144" i="41"/>
  <c r="M144" i="41"/>
  <c r="N144" i="41"/>
  <c r="O144" i="41"/>
  <c r="P144" i="41"/>
  <c r="Q144" i="41"/>
  <c r="R144" i="41"/>
  <c r="S144" i="41"/>
  <c r="T144" i="41"/>
  <c r="W144" i="41"/>
  <c r="Y144" i="41"/>
  <c r="AC144" i="41"/>
  <c r="AE144" i="41"/>
  <c r="AK144" i="41"/>
  <c r="AQ144" i="41"/>
  <c r="AS144" i="41"/>
  <c r="AT144" i="41"/>
  <c r="AW144" i="41"/>
  <c r="AY144" i="41"/>
  <c r="BA144" i="41"/>
  <c r="D145" i="41"/>
  <c r="H145" i="41"/>
  <c r="P145" i="41"/>
  <c r="R145" i="41"/>
  <c r="T145" i="41"/>
  <c r="V145" i="41"/>
  <c r="X145" i="41"/>
  <c r="Z145" i="41"/>
  <c r="AD145" i="41"/>
  <c r="AL145" i="41"/>
  <c r="AN145" i="41"/>
  <c r="AO145" i="41"/>
  <c r="AR145" i="41"/>
  <c r="AS145" i="41"/>
  <c r="AV145" i="41"/>
  <c r="AY145" i="41"/>
  <c r="B1" i="3098"/>
  <c r="O1" i="3098"/>
  <c r="AB1" i="3098"/>
  <c r="AO1" i="3098"/>
  <c r="B2" i="3098"/>
  <c r="BB2" i="3098"/>
  <c r="BC2" i="3098"/>
  <c r="B20" i="3098"/>
  <c r="C22" i="3098"/>
  <c r="D22" i="3098"/>
  <c r="P22" i="3098"/>
  <c r="Q22" i="3098"/>
  <c r="AC22" i="3098"/>
  <c r="AD22" i="3098"/>
  <c r="AP22" i="3098"/>
  <c r="AQ22" i="3098"/>
  <c r="B23" i="3098"/>
  <c r="O23" i="3098"/>
  <c r="AB23" i="3098"/>
  <c r="AO23" i="3098"/>
  <c r="B24" i="3098"/>
  <c r="O24" i="3098"/>
  <c r="AB24" i="3098"/>
  <c r="AO24" i="3098"/>
  <c r="B25" i="3098"/>
  <c r="O25" i="3098"/>
  <c r="AB25" i="3098"/>
  <c r="AO25" i="3098"/>
  <c r="B26" i="3098"/>
  <c r="O26" i="3098"/>
  <c r="AB26" i="3098"/>
  <c r="AO26" i="3098"/>
  <c r="B27" i="3098"/>
  <c r="H27" i="3098"/>
  <c r="I26" i="3098"/>
  <c r="O27" i="3098"/>
  <c r="AB27" i="3098"/>
  <c r="AO27" i="3098"/>
  <c r="B28" i="3098"/>
  <c r="O28" i="3098"/>
  <c r="AB28" i="3098"/>
  <c r="AO28" i="3098"/>
  <c r="B29" i="3098"/>
  <c r="O29" i="3098"/>
  <c r="AB29" i="3098"/>
  <c r="AO29" i="3098"/>
  <c r="B30" i="3098"/>
  <c r="O30" i="3098"/>
  <c r="AB30" i="3098"/>
  <c r="AO30" i="3098"/>
  <c r="B31" i="3098"/>
  <c r="O31" i="3098"/>
  <c r="AB31" i="3098"/>
  <c r="AO31" i="3098"/>
  <c r="B65" i="3098"/>
  <c r="B3" i="3098"/>
  <c r="C65" i="3098"/>
  <c r="D65" i="3098"/>
  <c r="D3" i="3098"/>
  <c r="E65" i="3098"/>
  <c r="F65" i="3098"/>
  <c r="F3" i="3098"/>
  <c r="G65" i="3098"/>
  <c r="H65" i="3098"/>
  <c r="H3" i="3098"/>
  <c r="I65" i="3098"/>
  <c r="J65" i="3098"/>
  <c r="J3" i="3098"/>
  <c r="K65" i="3098"/>
  <c r="L65" i="3098"/>
  <c r="L3" i="3098"/>
  <c r="M65" i="3098"/>
  <c r="N65" i="3098"/>
  <c r="N3" i="3098"/>
  <c r="E75" i="3098"/>
  <c r="U75" i="3098"/>
  <c r="W75" i="3098"/>
  <c r="Y75" i="3098"/>
  <c r="AA75" i="3098"/>
  <c r="AC75" i="3098"/>
  <c r="AD75" i="3098"/>
  <c r="AF75" i="3098"/>
  <c r="AJ75" i="3098"/>
  <c r="M91" i="3098"/>
  <c r="M92" i="3098"/>
  <c r="A123" i="3098"/>
  <c r="B123" i="3098"/>
  <c r="AB149" i="3098"/>
  <c r="AB150" i="3098"/>
  <c r="AD150" i="3098"/>
  <c r="AN150" i="3098"/>
  <c r="A1" i="32"/>
  <c r="C1" i="32"/>
  <c r="B70" i="32"/>
  <c r="C70" i="32"/>
  <c r="E70" i="32"/>
  <c r="A71" i="32"/>
  <c r="B71" i="32"/>
  <c r="C71" i="32"/>
  <c r="E71" i="32"/>
  <c r="B72" i="32"/>
  <c r="C72" i="32"/>
  <c r="E72" i="32"/>
  <c r="B73" i="32"/>
  <c r="C73" i="32"/>
  <c r="E73" i="32"/>
  <c r="B74" i="32"/>
  <c r="C74" i="32"/>
  <c r="E74" i="32"/>
  <c r="B75" i="32"/>
  <c r="C75" i="32"/>
  <c r="E75" i="32"/>
  <c r="B76" i="32"/>
  <c r="C76" i="32"/>
  <c r="E76" i="32"/>
  <c r="B77" i="32"/>
  <c r="C77" i="32"/>
  <c r="E77" i="32"/>
  <c r="B78" i="32"/>
  <c r="C78" i="32"/>
  <c r="E78" i="32"/>
  <c r="B79" i="32"/>
  <c r="C79" i="32"/>
  <c r="E79" i="32"/>
  <c r="B80" i="32"/>
  <c r="C80" i="32"/>
  <c r="E80" i="32"/>
  <c r="B81" i="32"/>
  <c r="C81" i="32"/>
  <c r="E81" i="32"/>
  <c r="B82" i="32"/>
  <c r="C82" i="32"/>
  <c r="E82" i="32"/>
  <c r="B83" i="32"/>
  <c r="C83" i="32"/>
  <c r="E83" i="32"/>
  <c r="A1" i="33"/>
  <c r="B70" i="33"/>
  <c r="C70" i="33"/>
  <c r="E70" i="33"/>
  <c r="B71" i="33"/>
  <c r="C71" i="33"/>
  <c r="E71" i="33"/>
  <c r="E72" i="33"/>
  <c r="B73" i="33"/>
  <c r="C73" i="33"/>
  <c r="E73" i="33"/>
  <c r="B74" i="33"/>
  <c r="C74" i="33"/>
  <c r="E74" i="33"/>
  <c r="B75" i="33"/>
  <c r="C75" i="33"/>
  <c r="E75" i="33"/>
  <c r="B76" i="33"/>
  <c r="C76" i="33"/>
  <c r="E76" i="33"/>
  <c r="B77" i="33"/>
  <c r="C77" i="33"/>
  <c r="E77" i="33"/>
  <c r="B78" i="33"/>
  <c r="C78" i="33"/>
  <c r="E78" i="33"/>
  <c r="B79" i="33"/>
  <c r="C79" i="33"/>
  <c r="B80" i="33"/>
  <c r="C80" i="33"/>
  <c r="B81" i="33"/>
  <c r="C81" i="33"/>
  <c r="E81" i="33"/>
  <c r="B82" i="33"/>
  <c r="C82" i="33"/>
  <c r="E82" i="33"/>
  <c r="B83" i="33"/>
  <c r="C83" i="33"/>
  <c r="E83" i="33"/>
  <c r="A1" i="34"/>
  <c r="B70" i="34"/>
  <c r="C70" i="34"/>
  <c r="E70" i="34"/>
  <c r="B71" i="34"/>
  <c r="C71" i="34"/>
  <c r="E71" i="34"/>
  <c r="B72" i="34"/>
  <c r="C72" i="34"/>
  <c r="E72" i="34"/>
  <c r="B73" i="34"/>
  <c r="C73" i="34"/>
  <c r="E73" i="34"/>
  <c r="B74" i="34"/>
  <c r="C74" i="34"/>
  <c r="E74" i="34"/>
  <c r="B75" i="34"/>
  <c r="C75" i="34"/>
  <c r="E75" i="34"/>
  <c r="B76" i="34"/>
  <c r="C76" i="34"/>
  <c r="E76" i="34"/>
  <c r="B77" i="34"/>
  <c r="C77" i="34"/>
  <c r="E77" i="34"/>
  <c r="B78" i="34"/>
  <c r="C78" i="34"/>
  <c r="E78" i="34"/>
  <c r="B79" i="34"/>
  <c r="C79" i="34"/>
  <c r="E79" i="34"/>
  <c r="B80" i="34"/>
  <c r="C80" i="34"/>
  <c r="E80" i="34"/>
  <c r="B81" i="34"/>
  <c r="C81" i="34"/>
  <c r="E81" i="34"/>
  <c r="B82" i="34"/>
  <c r="C82" i="34"/>
  <c r="E82" i="34"/>
  <c r="B83" i="34"/>
  <c r="C83" i="34"/>
  <c r="E83" i="34"/>
  <c r="BD2" i="3098"/>
  <c r="L40" i="4"/>
  <c r="L26" i="4"/>
  <c r="D28" i="4"/>
  <c r="D51" i="4"/>
  <c r="D74" i="4"/>
  <c r="D98" i="4"/>
  <c r="D30" i="4"/>
  <c r="D53" i="4"/>
  <c r="D76" i="4"/>
  <c r="D100" i="4"/>
  <c r="C7" i="3098"/>
  <c r="S30" i="4"/>
  <c r="S53" i="4"/>
  <c r="C8" i="3098"/>
  <c r="S31" i="4"/>
  <c r="R32" i="4"/>
  <c r="S32" i="4"/>
  <c r="S55" i="4"/>
  <c r="C10" i="3098"/>
  <c r="S33" i="4"/>
  <c r="B11" i="3098"/>
  <c r="S34" i="4"/>
  <c r="S35" i="4"/>
  <c r="F14" i="4"/>
  <c r="G14" i="4"/>
  <c r="H14" i="4"/>
  <c r="I14" i="4"/>
  <c r="J14" i="4"/>
  <c r="K14" i="4"/>
  <c r="L14" i="4"/>
  <c r="M14" i="4"/>
  <c r="N14" i="4"/>
  <c r="O14" i="4"/>
  <c r="P14" i="4"/>
  <c r="Q14" i="4"/>
  <c r="B32" i="3098"/>
  <c r="F17" i="4"/>
  <c r="F3" i="4"/>
  <c r="C32" i="3098"/>
  <c r="D26" i="4"/>
  <c r="L63" i="4"/>
  <c r="L49" i="4"/>
  <c r="K63" i="4"/>
  <c r="K49" i="4"/>
  <c r="S50" i="4"/>
  <c r="S28" i="4"/>
  <c r="S51" i="4"/>
  <c r="D29" i="4"/>
  <c r="D52" i="4"/>
  <c r="D75" i="4"/>
  <c r="D99" i="4"/>
  <c r="S29" i="4"/>
  <c r="S52" i="4"/>
  <c r="D31" i="4"/>
  <c r="D54" i="4"/>
  <c r="D77" i="4"/>
  <c r="D101" i="4"/>
  <c r="D32" i="4"/>
  <c r="D55" i="4"/>
  <c r="D78" i="4"/>
  <c r="D102" i="4"/>
  <c r="D33" i="4"/>
  <c r="D56" i="4"/>
  <c r="D79" i="4"/>
  <c r="D103" i="4"/>
  <c r="R34" i="4"/>
  <c r="R35" i="4"/>
  <c r="R58" i="4"/>
  <c r="R81" i="4"/>
  <c r="D36" i="4"/>
  <c r="D37" i="4"/>
  <c r="E37" i="4"/>
  <c r="F37" i="4"/>
  <c r="G37" i="4"/>
  <c r="H37" i="4"/>
  <c r="I37" i="4"/>
  <c r="J37" i="4"/>
  <c r="K37" i="4"/>
  <c r="L37" i="4"/>
  <c r="M37" i="4"/>
  <c r="N37" i="4"/>
  <c r="P37" i="4"/>
  <c r="Q37" i="4"/>
  <c r="D38" i="4"/>
  <c r="D39" i="4"/>
  <c r="D41" i="4"/>
  <c r="D42" i="4"/>
  <c r="D65" i="4"/>
  <c r="D88" i="4"/>
  <c r="D43" i="4"/>
  <c r="D44" i="4"/>
  <c r="D67" i="4"/>
  <c r="D90" i="4"/>
  <c r="D114" i="4"/>
  <c r="D45" i="4"/>
  <c r="D68" i="4"/>
  <c r="D91" i="4"/>
  <c r="D115" i="4"/>
  <c r="D46" i="4"/>
  <c r="T69" i="4"/>
  <c r="D49" i="4"/>
  <c r="D50" i="4"/>
  <c r="D73" i="4"/>
  <c r="D59" i="4"/>
  <c r="D82" i="4"/>
  <c r="D106" i="4"/>
  <c r="D60" i="4"/>
  <c r="D83" i="4"/>
  <c r="D107" i="4"/>
  <c r="F60" i="4"/>
  <c r="G60" i="4"/>
  <c r="H60" i="4"/>
  <c r="I60" i="4"/>
  <c r="J60" i="4"/>
  <c r="L60" i="4"/>
  <c r="M60" i="4"/>
  <c r="N60" i="4"/>
  <c r="O60" i="4"/>
  <c r="P60" i="4"/>
  <c r="Q60" i="4"/>
  <c r="D61" i="4"/>
  <c r="D84" i="4"/>
  <c r="D108" i="4"/>
  <c r="F61" i="4"/>
  <c r="G61" i="4"/>
  <c r="H61" i="4"/>
  <c r="I61" i="4"/>
  <c r="J61" i="4"/>
  <c r="L61" i="4"/>
  <c r="M61" i="4"/>
  <c r="N61" i="4"/>
  <c r="O61" i="4"/>
  <c r="P61" i="4"/>
  <c r="Q61" i="4"/>
  <c r="D62" i="4"/>
  <c r="D85" i="4"/>
  <c r="D109" i="4"/>
  <c r="D64" i="4"/>
  <c r="D87" i="4"/>
  <c r="D111" i="4"/>
  <c r="D66" i="4"/>
  <c r="D89" i="4"/>
  <c r="D113" i="4"/>
  <c r="D69" i="4"/>
  <c r="D92" i="4"/>
  <c r="D116" i="4"/>
  <c r="D72" i="4"/>
  <c r="D96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E84" i="4"/>
  <c r="F84" i="4"/>
  <c r="G84" i="4"/>
  <c r="H84" i="4"/>
  <c r="I84" i="4"/>
  <c r="J84" i="4"/>
  <c r="K84" i="4"/>
  <c r="L84" i="4"/>
  <c r="M84" i="4"/>
  <c r="N84" i="4"/>
  <c r="O84" i="4"/>
  <c r="P84" i="4"/>
  <c r="Q84" i="4"/>
  <c r="E107" i="4"/>
  <c r="G107" i="4"/>
  <c r="I107" i="4"/>
  <c r="P107" i="4"/>
  <c r="Q107" i="4"/>
  <c r="E108" i="4"/>
  <c r="E109" i="4"/>
  <c r="G108" i="4"/>
  <c r="H108" i="4"/>
  <c r="I108" i="4"/>
  <c r="P108" i="4"/>
  <c r="Q108" i="4"/>
  <c r="A1" i="37"/>
  <c r="B70" i="37"/>
  <c r="C70" i="37"/>
  <c r="E70" i="37"/>
  <c r="B71" i="37"/>
  <c r="C71" i="37"/>
  <c r="E71" i="37"/>
  <c r="B72" i="37"/>
  <c r="C72" i="37"/>
  <c r="E72" i="37"/>
  <c r="B73" i="37"/>
  <c r="C73" i="37"/>
  <c r="E73" i="37"/>
  <c r="B74" i="37"/>
  <c r="C74" i="37"/>
  <c r="E74" i="37"/>
  <c r="B75" i="37"/>
  <c r="C75" i="37"/>
  <c r="E75" i="37"/>
  <c r="B76" i="37"/>
  <c r="C76" i="37"/>
  <c r="E76" i="37"/>
  <c r="B77" i="37"/>
  <c r="C77" i="37"/>
  <c r="E77" i="37"/>
  <c r="B78" i="37"/>
  <c r="C78" i="37"/>
  <c r="E78" i="37"/>
  <c r="B79" i="37"/>
  <c r="C79" i="37"/>
  <c r="E79" i="37"/>
  <c r="B80" i="37"/>
  <c r="C80" i="37"/>
  <c r="E80" i="37"/>
  <c r="B81" i="37"/>
  <c r="C81" i="37"/>
  <c r="E81" i="37"/>
  <c r="B82" i="37"/>
  <c r="C82" i="37"/>
  <c r="E82" i="37"/>
  <c r="B83" i="37"/>
  <c r="C83" i="37"/>
  <c r="E83" i="37"/>
  <c r="AL12" i="3096"/>
  <c r="AL40" i="3096"/>
  <c r="A1" i="29"/>
  <c r="B106" i="29"/>
  <c r="C106" i="29"/>
  <c r="F106" i="29"/>
  <c r="B107" i="29"/>
  <c r="C107" i="29"/>
  <c r="B108" i="29"/>
  <c r="C108" i="29"/>
  <c r="B109" i="29"/>
  <c r="C109" i="29"/>
  <c r="F109" i="29"/>
  <c r="B110" i="29"/>
  <c r="C110" i="29"/>
  <c r="B111" i="29"/>
  <c r="C111" i="29"/>
  <c r="B112" i="29"/>
  <c r="C112" i="29"/>
  <c r="F112" i="29"/>
  <c r="B113" i="29"/>
  <c r="C113" i="29"/>
  <c r="F113" i="29"/>
  <c r="B114" i="29"/>
  <c r="C114" i="29"/>
  <c r="F114" i="29"/>
  <c r="B115" i="29"/>
  <c r="C115" i="29"/>
  <c r="F115" i="29"/>
  <c r="B116" i="29"/>
  <c r="C116" i="29"/>
  <c r="F116" i="29"/>
  <c r="B117" i="29"/>
  <c r="C117" i="29"/>
  <c r="F117" i="29"/>
  <c r="B118" i="29"/>
  <c r="C118" i="29"/>
  <c r="F118" i="29"/>
  <c r="B119" i="29"/>
  <c r="C119" i="29"/>
  <c r="F119" i="29"/>
  <c r="C6" i="3098"/>
  <c r="C9" i="3098"/>
  <c r="B6" i="3098"/>
  <c r="B7" i="3098"/>
  <c r="D7" i="3098"/>
  <c r="B8" i="3098"/>
  <c r="B9" i="3098"/>
  <c r="B12" i="3098"/>
  <c r="C12" i="3098"/>
  <c r="D12" i="3098"/>
  <c r="E12" i="3098"/>
  <c r="F12" i="3098"/>
  <c r="D21" i="41"/>
  <c r="D20" i="3098"/>
  <c r="BD2" i="41"/>
  <c r="G17" i="4"/>
  <c r="G3" i="4"/>
  <c r="B33" i="41"/>
  <c r="C2" i="41"/>
  <c r="D2" i="41"/>
  <c r="C21" i="41"/>
  <c r="D2" i="3098"/>
  <c r="C2" i="3098"/>
  <c r="D1" i="32"/>
  <c r="A72" i="32"/>
  <c r="C20" i="3098"/>
  <c r="E1" i="32"/>
  <c r="A73" i="32"/>
  <c r="L101" i="41"/>
  <c r="E21" i="41"/>
  <c r="A74" i="32"/>
  <c r="E20" i="3098"/>
  <c r="F2" i="41"/>
  <c r="H17" i="4"/>
  <c r="H3" i="4"/>
  <c r="E33" i="41"/>
  <c r="E2" i="3098"/>
  <c r="D33" i="41"/>
  <c r="D32" i="3098"/>
  <c r="E2" i="41"/>
  <c r="D9" i="3098"/>
  <c r="E32" i="3098"/>
  <c r="F2" i="3098"/>
  <c r="F21" i="41"/>
  <c r="F20" i="3098"/>
  <c r="I17" i="4"/>
  <c r="I3" i="4"/>
  <c r="F32" i="3098"/>
  <c r="A75" i="32"/>
  <c r="G21" i="41"/>
  <c r="A76" i="32"/>
  <c r="G20" i="3098"/>
  <c r="G21" i="3098"/>
  <c r="G32" i="3098"/>
  <c r="G2" i="3098"/>
  <c r="G2" i="41"/>
  <c r="F33" i="41"/>
  <c r="I2" i="41"/>
  <c r="H21" i="41"/>
  <c r="H20" i="3098"/>
  <c r="H21" i="3098"/>
  <c r="I1" i="32"/>
  <c r="A77" i="32"/>
  <c r="H32" i="3098"/>
  <c r="H2" i="3098"/>
  <c r="H2" i="41"/>
  <c r="I21" i="41"/>
  <c r="J1" i="32"/>
  <c r="A78" i="32"/>
  <c r="I20" i="3098"/>
  <c r="J2" i="41"/>
  <c r="I32" i="3098"/>
  <c r="I2" i="3098"/>
  <c r="J2" i="3098"/>
  <c r="J21" i="41"/>
  <c r="J22" i="41"/>
  <c r="J20" i="3098"/>
  <c r="J32" i="3098"/>
  <c r="K1" i="32"/>
  <c r="A79" i="32"/>
  <c r="K21" i="41"/>
  <c r="K22" i="41"/>
  <c r="L1" i="32"/>
  <c r="A80" i="32"/>
  <c r="K20" i="3098"/>
  <c r="K21" i="3098"/>
  <c r="K32" i="3098"/>
  <c r="K2" i="3098"/>
  <c r="K2" i="41"/>
  <c r="M2" i="41"/>
  <c r="L21" i="41"/>
  <c r="L20" i="3098"/>
  <c r="L21" i="3098"/>
  <c r="M1" i="32"/>
  <c r="A81" i="32"/>
  <c r="O17" i="4"/>
  <c r="O3" i="4"/>
  <c r="L33" i="41"/>
  <c r="L2" i="3098"/>
  <c r="L2" i="41"/>
  <c r="L32" i="3098"/>
  <c r="N2" i="41"/>
  <c r="M21" i="41"/>
  <c r="M22" i="41"/>
  <c r="N2" i="3098"/>
  <c r="N1" i="32"/>
  <c r="A82" i="32"/>
  <c r="M20" i="3098"/>
  <c r="P17" i="4"/>
  <c r="P3" i="4"/>
  <c r="M32" i="3098"/>
  <c r="M2" i="3098"/>
  <c r="N21" i="41"/>
  <c r="N22" i="41"/>
  <c r="N20" i="3098"/>
  <c r="Q17" i="4"/>
  <c r="Q3" i="4"/>
  <c r="N33" i="41"/>
  <c r="O1" i="32"/>
  <c r="A83" i="32"/>
  <c r="C1" i="33"/>
  <c r="A71" i="33"/>
  <c r="AJ142" i="41"/>
  <c r="D78" i="34"/>
  <c r="AQ76" i="41"/>
  <c r="AQ145" i="41"/>
  <c r="AT142" i="41"/>
  <c r="AT143" i="41"/>
  <c r="AT145" i="41"/>
  <c r="M76" i="41"/>
  <c r="R30" i="4"/>
  <c r="R53" i="4"/>
  <c r="R33" i="4"/>
  <c r="R56" i="4"/>
  <c r="R79" i="4"/>
  <c r="J76" i="41"/>
  <c r="E9" i="3098"/>
  <c r="F9" i="3098"/>
  <c r="C33" i="41"/>
  <c r="AI76" i="41"/>
  <c r="AI145" i="41"/>
  <c r="AE76" i="41"/>
  <c r="AE145" i="41"/>
  <c r="AC76" i="41"/>
  <c r="AC145" i="41"/>
  <c r="O76" i="41"/>
  <c r="O145" i="41"/>
  <c r="I76" i="41"/>
  <c r="I145" i="41"/>
  <c r="G76" i="41"/>
  <c r="G145" i="41"/>
  <c r="C76" i="41"/>
  <c r="C145" i="41"/>
  <c r="V7" i="4"/>
  <c r="BA145" i="41"/>
  <c r="AW145" i="41"/>
  <c r="AU145" i="41"/>
  <c r="AG145" i="41"/>
  <c r="AA145" i="41"/>
  <c r="Y145" i="41"/>
  <c r="W145" i="41"/>
  <c r="U145" i="41"/>
  <c r="S145" i="41"/>
  <c r="AX76" i="41"/>
  <c r="AV76" i="41"/>
  <c r="AT76" i="41"/>
  <c r="AR76" i="41"/>
  <c r="AN76" i="41"/>
  <c r="AL76" i="41"/>
  <c r="AJ76" i="41"/>
  <c r="AH76" i="41"/>
  <c r="AF76" i="41"/>
  <c r="AD76" i="41"/>
  <c r="AB76" i="41"/>
  <c r="Z76" i="41"/>
  <c r="X76" i="41"/>
  <c r="V76" i="41"/>
  <c r="T76" i="41"/>
  <c r="R76" i="41"/>
  <c r="P76" i="41"/>
  <c r="F76" i="41"/>
  <c r="N76" i="41"/>
  <c r="D74" i="33"/>
  <c r="J123" i="3098"/>
  <c r="G9" i="3098"/>
  <c r="C11" i="3098"/>
  <c r="C15" i="3098"/>
  <c r="D6" i="3098"/>
  <c r="AJ145" i="41"/>
  <c r="AH145" i="41"/>
  <c r="BF102" i="41"/>
  <c r="N32" i="3098"/>
  <c r="D77" i="33"/>
  <c r="D71" i="33"/>
  <c r="AF145" i="41"/>
  <c r="D78" i="33"/>
  <c r="D76" i="33"/>
  <c r="D75" i="33"/>
  <c r="M33" i="41"/>
  <c r="R31" i="4"/>
  <c r="R54" i="4"/>
  <c r="R77" i="4"/>
  <c r="R29" i="4"/>
  <c r="R52" i="4"/>
  <c r="R75" i="4"/>
  <c r="S54" i="4"/>
  <c r="S77" i="4"/>
  <c r="S58" i="4"/>
  <c r="S81" i="4"/>
  <c r="S57" i="4"/>
  <c r="S80" i="4"/>
  <c r="S56" i="4"/>
  <c r="S79" i="4"/>
  <c r="R57" i="4"/>
  <c r="R55" i="4"/>
  <c r="T51" i="4"/>
  <c r="V51" i="4"/>
  <c r="V4" i="4"/>
  <c r="V12" i="4"/>
  <c r="AZ76" i="41"/>
  <c r="AX145" i="41"/>
  <c r="AZ137" i="41"/>
  <c r="D83" i="37"/>
  <c r="V89" i="4"/>
  <c r="D75" i="34"/>
  <c r="D73" i="34"/>
  <c r="D71" i="34"/>
  <c r="D80" i="33"/>
  <c r="D77" i="32"/>
  <c r="D75" i="32"/>
  <c r="D73" i="32"/>
  <c r="D71" i="32"/>
  <c r="AS75" i="3098"/>
  <c r="G22" i="41"/>
  <c r="F22" i="41"/>
  <c r="C21" i="3098"/>
  <c r="N21" i="3098"/>
  <c r="M21" i="3098"/>
  <c r="L22" i="41"/>
  <c r="J21" i="3098"/>
  <c r="I21" i="3098"/>
  <c r="I22" i="41"/>
  <c r="H22" i="41"/>
  <c r="F21" i="3098"/>
  <c r="E21" i="3098"/>
  <c r="E22" i="41"/>
  <c r="D21" i="3098"/>
  <c r="D80" i="37"/>
  <c r="D78" i="37"/>
  <c r="D76" i="34"/>
  <c r="D74" i="34"/>
  <c r="D72" i="34"/>
  <c r="D82" i="32"/>
  <c r="D80" i="32"/>
  <c r="D76" i="32"/>
  <c r="D74" i="32"/>
  <c r="D72" i="32"/>
  <c r="B21" i="3098"/>
  <c r="C22" i="41"/>
  <c r="D22" i="41"/>
  <c r="O75" i="3098"/>
  <c r="I75" i="3098"/>
  <c r="AR75" i="3098"/>
  <c r="AP75" i="3098"/>
  <c r="AZ75" i="3098"/>
  <c r="BF105" i="41"/>
  <c r="AV75" i="3098"/>
  <c r="AX75" i="3098"/>
  <c r="AP76" i="41"/>
  <c r="BA75" i="3098"/>
  <c r="AY75" i="3098"/>
  <c r="AU75" i="3098"/>
  <c r="AQ75" i="3098"/>
  <c r="D77" i="34"/>
  <c r="D83" i="34"/>
  <c r="D81" i="34"/>
  <c r="D82" i="34"/>
  <c r="D80" i="34"/>
  <c r="D79" i="34"/>
  <c r="Z88" i="41"/>
  <c r="AH75" i="3098"/>
  <c r="Z83" i="41"/>
  <c r="AL34" i="3096"/>
  <c r="AL22" i="3096"/>
  <c r="D112" i="29"/>
  <c r="BF106" i="41"/>
  <c r="C14" i="3098"/>
  <c r="BG105" i="41"/>
  <c r="X103" i="4"/>
  <c r="X104" i="4"/>
  <c r="X102" i="4"/>
  <c r="BG102" i="41"/>
  <c r="D114" i="29"/>
  <c r="D73" i="33"/>
  <c r="S75" i="3098"/>
  <c r="Q145" i="41"/>
  <c r="Q75" i="3098"/>
  <c r="AL75" i="3098"/>
  <c r="D83" i="33"/>
  <c r="D81" i="33"/>
  <c r="D79" i="33"/>
  <c r="T75" i="3098"/>
  <c r="R75" i="3098"/>
  <c r="P75" i="3098"/>
  <c r="BB137" i="41"/>
  <c r="AN6" i="3096"/>
  <c r="D83" i="32"/>
  <c r="D81" i="32"/>
  <c r="D79" i="32"/>
  <c r="D78" i="32"/>
  <c r="C13" i="3098"/>
  <c r="Z82" i="41"/>
  <c r="Z85" i="41"/>
  <c r="T30" i="4"/>
  <c r="B10" i="3098"/>
  <c r="D8" i="3098"/>
  <c r="E8" i="3098"/>
  <c r="B13" i="3098"/>
  <c r="B16" i="3098"/>
  <c r="B15" i="41"/>
  <c r="V11" i="4"/>
  <c r="T8" i="4"/>
  <c r="N123" i="3098"/>
  <c r="F123" i="3098"/>
  <c r="M75" i="3098"/>
  <c r="M145" i="41"/>
  <c r="K145" i="41"/>
  <c r="E145" i="41"/>
  <c r="C17" i="3098"/>
  <c r="T7" i="4"/>
  <c r="T5" i="4"/>
  <c r="G12" i="3098"/>
  <c r="H12" i="3098"/>
  <c r="T10" i="4"/>
  <c r="V9" i="4"/>
  <c r="V8" i="4"/>
  <c r="K75" i="3098"/>
  <c r="G75" i="3098"/>
  <c r="C75" i="3098"/>
  <c r="B76" i="41"/>
  <c r="V10" i="4"/>
  <c r="V6" i="4"/>
  <c r="V5" i="4"/>
  <c r="L76" i="41"/>
  <c r="H76" i="41"/>
  <c r="D76" i="41"/>
  <c r="D71" i="37"/>
  <c r="D108" i="29"/>
  <c r="AO144" i="41"/>
  <c r="BB142" i="41"/>
  <c r="AN24" i="3096"/>
  <c r="BF104" i="41"/>
  <c r="X99" i="4"/>
  <c r="X105" i="4"/>
  <c r="D109" i="29"/>
  <c r="D107" i="29"/>
  <c r="AG75" i="3098"/>
  <c r="AI75" i="3098"/>
  <c r="AK75" i="3098"/>
  <c r="AK76" i="41"/>
  <c r="AM75" i="3098"/>
  <c r="AN75" i="3098"/>
  <c r="D72" i="37"/>
  <c r="D115" i="29"/>
  <c r="D111" i="29"/>
  <c r="AL38" i="3096"/>
  <c r="AB145" i="41"/>
  <c r="AE75" i="3098"/>
  <c r="D113" i="29"/>
  <c r="D110" i="29"/>
  <c r="R74" i="4"/>
  <c r="T35" i="4"/>
  <c r="Z75" i="3098"/>
  <c r="D82" i="33"/>
  <c r="D116" i="29"/>
  <c r="X75" i="3098"/>
  <c r="S74" i="4"/>
  <c r="V34" i="4"/>
  <c r="V75" i="3098"/>
  <c r="Z80" i="41"/>
  <c r="V28" i="4"/>
  <c r="S75" i="4"/>
  <c r="S76" i="4"/>
  <c r="X101" i="4"/>
  <c r="L123" i="3098"/>
  <c r="H123" i="3098"/>
  <c r="D123" i="3098"/>
  <c r="V35" i="4"/>
  <c r="X106" i="4"/>
  <c r="X100" i="4"/>
  <c r="BG106" i="41"/>
  <c r="BG104" i="41"/>
  <c r="BB143" i="41"/>
  <c r="AN34" i="3096"/>
  <c r="D76" i="37"/>
  <c r="D75" i="37"/>
  <c r="D73" i="37"/>
  <c r="T11" i="4"/>
  <c r="T12" i="4"/>
  <c r="T9" i="4"/>
  <c r="E7" i="3098"/>
  <c r="F7" i="3098"/>
  <c r="T33" i="4"/>
  <c r="T6" i="4"/>
  <c r="BB141" i="41"/>
  <c r="AN10" i="3096"/>
  <c r="AM76" i="41"/>
  <c r="BB140" i="41"/>
  <c r="AN22" i="3096"/>
  <c r="AB75" i="3098"/>
  <c r="AW75" i="3098"/>
  <c r="BG103" i="41"/>
  <c r="BF103" i="41"/>
  <c r="F109" i="4"/>
  <c r="G109" i="4"/>
  <c r="H109" i="4"/>
  <c r="I109" i="4"/>
  <c r="T34" i="4"/>
  <c r="S78" i="4"/>
  <c r="AT75" i="3098"/>
  <c r="AO75" i="3098"/>
  <c r="Z86" i="41"/>
  <c r="AL8" i="3096"/>
  <c r="V32" i="4"/>
  <c r="T32" i="4"/>
  <c r="V29" i="4"/>
  <c r="V30" i="4"/>
  <c r="BB138" i="41"/>
  <c r="AN20" i="3096"/>
  <c r="Z81" i="41"/>
  <c r="O21" i="41"/>
  <c r="O22" i="41"/>
  <c r="O2" i="3098"/>
  <c r="E40" i="4"/>
  <c r="E26" i="4"/>
  <c r="O2" i="41"/>
  <c r="O20" i="3098"/>
  <c r="O21" i="3098"/>
  <c r="T28" i="4"/>
  <c r="N75" i="3098"/>
  <c r="L75" i="3098"/>
  <c r="J75" i="3098"/>
  <c r="H75" i="3098"/>
  <c r="F75" i="3098"/>
  <c r="D75" i="3098"/>
  <c r="B75" i="3098"/>
  <c r="M3" i="3098"/>
  <c r="M123" i="3098"/>
  <c r="K3" i="3098"/>
  <c r="K123" i="3098"/>
  <c r="I3" i="3098"/>
  <c r="I123" i="3098"/>
  <c r="G3" i="3098"/>
  <c r="G123" i="3098"/>
  <c r="E3" i="3098"/>
  <c r="E123" i="3098"/>
  <c r="C3" i="3098"/>
  <c r="C123" i="3098"/>
  <c r="Z84" i="41"/>
  <c r="AL20" i="3096"/>
  <c r="BB144" i="41"/>
  <c r="AN36" i="3096"/>
  <c r="AL36" i="3096"/>
  <c r="D81" i="37"/>
  <c r="D79" i="37"/>
  <c r="D77" i="37"/>
  <c r="D74" i="37"/>
  <c r="D82" i="37"/>
  <c r="AU139" i="41"/>
  <c r="BB139" i="41"/>
  <c r="AN8" i="3096"/>
  <c r="B14" i="41"/>
  <c r="V33" i="4"/>
  <c r="B18" i="41"/>
  <c r="C14" i="41"/>
  <c r="C15" i="41"/>
  <c r="C18" i="41"/>
  <c r="H9" i="3098"/>
  <c r="B17" i="3098"/>
  <c r="D10" i="3098"/>
  <c r="E10" i="3098"/>
  <c r="D11" i="3098"/>
  <c r="G7" i="3098"/>
  <c r="O59" i="4"/>
  <c r="P59" i="4"/>
  <c r="Q59" i="4"/>
  <c r="E48" i="4"/>
  <c r="E6" i="3098"/>
  <c r="F8" i="3098"/>
  <c r="G8" i="3098"/>
  <c r="V31" i="4"/>
  <c r="T29" i="4"/>
  <c r="T31" i="4"/>
  <c r="V75" i="4"/>
  <c r="V52" i="4"/>
  <c r="V27" i="4"/>
  <c r="T54" i="4"/>
  <c r="T52" i="4"/>
  <c r="V77" i="4"/>
  <c r="T77" i="4"/>
  <c r="BB145" i="41"/>
  <c r="AN38" i="3096"/>
  <c r="AN45" i="3096"/>
  <c r="V54" i="4"/>
  <c r="T58" i="4"/>
  <c r="V81" i="4"/>
  <c r="T81" i="4"/>
  <c r="V58" i="4"/>
  <c r="V56" i="4"/>
  <c r="B15" i="3098"/>
  <c r="T56" i="4"/>
  <c r="T79" i="4"/>
  <c r="C16" i="3098"/>
  <c r="V50" i="4"/>
  <c r="T50" i="4"/>
  <c r="V88" i="4"/>
  <c r="E82" i="4"/>
  <c r="F82" i="4"/>
  <c r="G82" i="4"/>
  <c r="H82" i="4"/>
  <c r="I82" i="4"/>
  <c r="J82" i="4"/>
  <c r="K82" i="4"/>
  <c r="L82" i="4"/>
  <c r="L86" i="4"/>
  <c r="L72" i="4"/>
  <c r="H86" i="4"/>
  <c r="H72" i="4"/>
  <c r="K86" i="4"/>
  <c r="K72" i="4"/>
  <c r="R73" i="4"/>
  <c r="T53" i="4"/>
  <c r="V53" i="4"/>
  <c r="T55" i="4"/>
  <c r="V55" i="4"/>
  <c r="T57" i="4"/>
  <c r="V57" i="4"/>
  <c r="R76" i="4"/>
  <c r="T76" i="4"/>
  <c r="R78" i="4"/>
  <c r="T78" i="4"/>
  <c r="R80" i="4"/>
  <c r="I12" i="3098"/>
  <c r="J12" i="3098"/>
  <c r="O66" i="41"/>
  <c r="O65" i="3098"/>
  <c r="J109" i="4"/>
  <c r="K109" i="4"/>
  <c r="L109" i="4"/>
  <c r="M109" i="4"/>
  <c r="N109" i="4"/>
  <c r="BH105" i="41"/>
  <c r="BH102" i="41"/>
  <c r="L88" i="3098"/>
  <c r="K88" i="3098"/>
  <c r="L89" i="3098"/>
  <c r="K89" i="3098"/>
  <c r="BC91" i="41"/>
  <c r="BD91" i="41"/>
  <c r="AL6" i="3096"/>
  <c r="B14" i="3098"/>
  <c r="H7" i="3098"/>
  <c r="I7" i="3098"/>
  <c r="K90" i="3098"/>
  <c r="L90" i="3098"/>
  <c r="BB136" i="3098"/>
  <c r="V74" i="4"/>
  <c r="V79" i="4"/>
  <c r="T74" i="4"/>
  <c r="T75" i="4"/>
  <c r="J90" i="3098"/>
  <c r="S73" i="4"/>
  <c r="D14" i="41"/>
  <c r="L90" i="41"/>
  <c r="L89" i="41"/>
  <c r="L94" i="41"/>
  <c r="J89" i="3098"/>
  <c r="K91" i="41"/>
  <c r="K89" i="41"/>
  <c r="K94" i="41"/>
  <c r="L91" i="41"/>
  <c r="P21" i="41"/>
  <c r="P22" i="41"/>
  <c r="P20" i="3098"/>
  <c r="P21" i="3098"/>
  <c r="D1" i="33"/>
  <c r="A72" i="33"/>
  <c r="F40" i="4"/>
  <c r="F26" i="4"/>
  <c r="Q2" i="3098"/>
  <c r="Q2" i="41"/>
  <c r="O32" i="3098"/>
  <c r="O33" i="41"/>
  <c r="P2" i="3098"/>
  <c r="P2" i="41"/>
  <c r="K90" i="41"/>
  <c r="J91" i="41"/>
  <c r="J88" i="3098"/>
  <c r="I89" i="3098"/>
  <c r="J89" i="41"/>
  <c r="J94" i="41"/>
  <c r="M82" i="4"/>
  <c r="N82" i="4"/>
  <c r="O82" i="4"/>
  <c r="P82" i="4"/>
  <c r="Q82" i="4"/>
  <c r="D18" i="41"/>
  <c r="D15" i="41"/>
  <c r="D13" i="3098"/>
  <c r="D16" i="3098"/>
  <c r="D15" i="3098"/>
  <c r="F23" i="3098"/>
  <c r="I9" i="3098"/>
  <c r="J9" i="3098"/>
  <c r="D14" i="3098"/>
  <c r="D17" i="3098"/>
  <c r="F6" i="3098"/>
  <c r="H8" i="3098"/>
  <c r="E11" i="3098"/>
  <c r="F11" i="3098"/>
  <c r="BI102" i="41"/>
  <c r="I8" i="3098"/>
  <c r="V76" i="4"/>
  <c r="V78" i="4"/>
  <c r="V80" i="4"/>
  <c r="T80" i="4"/>
  <c r="J7" i="3098"/>
  <c r="K12" i="3098"/>
  <c r="L12" i="3098"/>
  <c r="M12" i="3098"/>
  <c r="P66" i="41"/>
  <c r="P65" i="3098"/>
  <c r="O3" i="3098"/>
  <c r="O123" i="3098"/>
  <c r="G25" i="4"/>
  <c r="O3" i="41"/>
  <c r="O136" i="41"/>
  <c r="BJ105" i="41"/>
  <c r="BI106" i="41"/>
  <c r="BH106" i="41"/>
  <c r="BH104" i="41"/>
  <c r="BI103" i="41"/>
  <c r="BH103" i="41"/>
  <c r="BB91" i="41"/>
  <c r="F10" i="3098"/>
  <c r="E15" i="41"/>
  <c r="E18" i="41"/>
  <c r="E14" i="41"/>
  <c r="AD149" i="3098"/>
  <c r="T73" i="4"/>
  <c r="V73" i="4"/>
  <c r="P33" i="41"/>
  <c r="P32" i="3098"/>
  <c r="E1" i="33"/>
  <c r="A73" i="33"/>
  <c r="G40" i="4"/>
  <c r="G26" i="4"/>
  <c r="Q21" i="41"/>
  <c r="Q22" i="41"/>
  <c r="R2" i="3098"/>
  <c r="Q20" i="3098"/>
  <c r="Q21" i="3098"/>
  <c r="I91" i="41"/>
  <c r="J90" i="41"/>
  <c r="H90" i="3098"/>
  <c r="I88" i="3098"/>
  <c r="I90" i="3098"/>
  <c r="H89" i="3098"/>
  <c r="I89" i="41"/>
  <c r="I94" i="41"/>
  <c r="E13" i="3098"/>
  <c r="E16" i="3098"/>
  <c r="E15" i="3098"/>
  <c r="E17" i="3098"/>
  <c r="BK102" i="41"/>
  <c r="K9" i="3098"/>
  <c r="J8" i="3098"/>
  <c r="K8" i="3098"/>
  <c r="G11" i="3098"/>
  <c r="H11" i="3098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E14" i="3098"/>
  <c r="G6" i="3098"/>
  <c r="O4" i="3098"/>
  <c r="N12" i="3098"/>
  <c r="F31" i="3098"/>
  <c r="K7" i="3098"/>
  <c r="L7" i="3098"/>
  <c r="Q66" i="41"/>
  <c r="Q65" i="3098"/>
  <c r="P3" i="3098"/>
  <c r="P123" i="3098"/>
  <c r="S2" i="41"/>
  <c r="H25" i="4"/>
  <c r="P3" i="41"/>
  <c r="P136" i="41"/>
  <c r="BI105" i="41"/>
  <c r="BK106" i="41"/>
  <c r="BK105" i="41"/>
  <c r="BJ103" i="41"/>
  <c r="BL102" i="41"/>
  <c r="BI104" i="41"/>
  <c r="BA91" i="41"/>
  <c r="F15" i="3098"/>
  <c r="F17" i="3098"/>
  <c r="G10" i="3098"/>
  <c r="F13" i="3098"/>
  <c r="F14" i="3098"/>
  <c r="F15" i="41"/>
  <c r="F14" i="41"/>
  <c r="F18" i="41"/>
  <c r="E36" i="32"/>
  <c r="Q33" i="41"/>
  <c r="Q32" i="3098"/>
  <c r="R21" i="41"/>
  <c r="R22" i="41"/>
  <c r="R20" i="3098"/>
  <c r="R21" i="3098"/>
  <c r="F1" i="33"/>
  <c r="A74" i="33"/>
  <c r="H40" i="4"/>
  <c r="H26" i="4"/>
  <c r="S2" i="3098"/>
  <c r="R2" i="41"/>
  <c r="I90" i="41"/>
  <c r="H91" i="41"/>
  <c r="G90" i="3098"/>
  <c r="H88" i="3098"/>
  <c r="G89" i="3098"/>
  <c r="H89" i="41"/>
  <c r="H94" i="41"/>
  <c r="AP141" i="3098"/>
  <c r="AJ148" i="3098"/>
  <c r="AP139" i="3098"/>
  <c r="AL141" i="3098"/>
  <c r="AH148" i="3098"/>
  <c r="BJ102" i="41"/>
  <c r="L9" i="3098"/>
  <c r="M9" i="3098"/>
  <c r="L8" i="3098"/>
  <c r="I11" i="3098"/>
  <c r="J11" i="3098"/>
  <c r="H6" i="3098"/>
  <c r="R85" i="4"/>
  <c r="P4" i="3098"/>
  <c r="O12" i="3098"/>
  <c r="D23" i="3098"/>
  <c r="C23" i="3098"/>
  <c r="E31" i="3098"/>
  <c r="M7" i="3098"/>
  <c r="N7" i="3098"/>
  <c r="AN141" i="3098"/>
  <c r="AI148" i="3098"/>
  <c r="AN139" i="3098"/>
  <c r="R66" i="41"/>
  <c r="R65" i="3098"/>
  <c r="Q3" i="3098"/>
  <c r="Q123" i="3098"/>
  <c r="T2" i="3098"/>
  <c r="I25" i="4"/>
  <c r="Q3" i="41"/>
  <c r="Q136" i="41"/>
  <c r="BJ106" i="41"/>
  <c r="BL105" i="41"/>
  <c r="BM102" i="41"/>
  <c r="BM106" i="41"/>
  <c r="BL104" i="41"/>
  <c r="BJ104" i="41"/>
  <c r="AZ91" i="41"/>
  <c r="G14" i="3098"/>
  <c r="G15" i="3098"/>
  <c r="G13" i="3098"/>
  <c r="G16" i="3098"/>
  <c r="G17" i="3098"/>
  <c r="F16" i="3098"/>
  <c r="H10" i="3098"/>
  <c r="G15" i="41"/>
  <c r="G18" i="41"/>
  <c r="G14" i="41"/>
  <c r="R32" i="3098"/>
  <c r="R33" i="41"/>
  <c r="I40" i="4"/>
  <c r="I26" i="4"/>
  <c r="S20" i="3098"/>
  <c r="S21" i="3098"/>
  <c r="G1" i="33"/>
  <c r="A75" i="33"/>
  <c r="S21" i="41"/>
  <c r="S22" i="41"/>
  <c r="G91" i="41"/>
  <c r="H90" i="41"/>
  <c r="F90" i="3098"/>
  <c r="G88" i="3098"/>
  <c r="F89" i="3098"/>
  <c r="G89" i="41"/>
  <c r="G94" i="41"/>
  <c r="AR141" i="3098"/>
  <c r="AK148" i="3098"/>
  <c r="AR139" i="3098"/>
  <c r="AL139" i="3098"/>
  <c r="D31" i="41"/>
  <c r="H18" i="41"/>
  <c r="H15" i="41"/>
  <c r="H14" i="41"/>
  <c r="N9" i="3098"/>
  <c r="O9" i="3098"/>
  <c r="P9" i="3098"/>
  <c r="Q9" i="3098"/>
  <c r="F28" i="3098"/>
  <c r="K11" i="3098"/>
  <c r="M8" i="3098"/>
  <c r="N8" i="3098"/>
  <c r="F27" i="3098"/>
  <c r="L11" i="3098"/>
  <c r="I6" i="3098"/>
  <c r="J6" i="3098"/>
  <c r="O7" i="3098"/>
  <c r="P7" i="3098"/>
  <c r="O5" i="3098"/>
  <c r="D25" i="41"/>
  <c r="Q4" i="3098"/>
  <c r="P12" i="3098"/>
  <c r="I10" i="3098"/>
  <c r="F26" i="3098"/>
  <c r="I14" i="41"/>
  <c r="I15" i="41"/>
  <c r="I18" i="41"/>
  <c r="E26" i="3098"/>
  <c r="C31" i="3098"/>
  <c r="D31" i="3098"/>
  <c r="C25" i="41"/>
  <c r="S66" i="41"/>
  <c r="S65" i="3098"/>
  <c r="R3" i="3098"/>
  <c r="R123" i="3098"/>
  <c r="J25" i="4"/>
  <c r="R3" i="41"/>
  <c r="R136" i="41"/>
  <c r="BN105" i="41"/>
  <c r="BN102" i="41"/>
  <c r="BK103" i="41"/>
  <c r="BL106" i="41"/>
  <c r="BO106" i="41"/>
  <c r="BK104" i="41"/>
  <c r="AY91" i="41"/>
  <c r="H15" i="3098"/>
  <c r="H13" i="3098"/>
  <c r="H17" i="3098"/>
  <c r="H14" i="3098"/>
  <c r="S32" i="3098"/>
  <c r="S33" i="41"/>
  <c r="T21" i="41"/>
  <c r="T22" i="41"/>
  <c r="T20" i="3098"/>
  <c r="T21" i="3098"/>
  <c r="H1" i="33"/>
  <c r="A76" i="33"/>
  <c r="J40" i="4"/>
  <c r="J26" i="4"/>
  <c r="U2" i="41"/>
  <c r="U2" i="3098"/>
  <c r="T2" i="41"/>
  <c r="F91" i="41"/>
  <c r="G90" i="41"/>
  <c r="F88" i="3098"/>
  <c r="E89" i="3098"/>
  <c r="F89" i="41"/>
  <c r="F94" i="41"/>
  <c r="AT139" i="3098"/>
  <c r="AT141" i="3098"/>
  <c r="AL148" i="3098"/>
  <c r="AJ141" i="3098"/>
  <c r="AG148" i="3098"/>
  <c r="AJ139" i="3098"/>
  <c r="C31" i="41"/>
  <c r="J18" i="41"/>
  <c r="E28" i="3098"/>
  <c r="D28" i="3098"/>
  <c r="E27" i="3098"/>
  <c r="C27" i="3098"/>
  <c r="C28" i="3098"/>
  <c r="R9" i="3098"/>
  <c r="S9" i="3098"/>
  <c r="T9" i="3098"/>
  <c r="U9" i="3098"/>
  <c r="O8" i="3098"/>
  <c r="J14" i="41"/>
  <c r="J15" i="41"/>
  <c r="D26" i="41"/>
  <c r="D28" i="41"/>
  <c r="C28" i="41"/>
  <c r="K6" i="3098"/>
  <c r="M11" i="3098"/>
  <c r="N11" i="3098"/>
  <c r="O11" i="3098"/>
  <c r="C26" i="3098"/>
  <c r="Q7" i="3098"/>
  <c r="R7" i="3098"/>
  <c r="S7" i="3098"/>
  <c r="T7" i="3098"/>
  <c r="R4" i="3098"/>
  <c r="Q12" i="3098"/>
  <c r="R12" i="3098"/>
  <c r="S12" i="3098"/>
  <c r="P5" i="3098"/>
  <c r="Q5" i="3098"/>
  <c r="I15" i="3098"/>
  <c r="I14" i="3098"/>
  <c r="I13" i="3098"/>
  <c r="I16" i="3098"/>
  <c r="I17" i="3098"/>
  <c r="D26" i="3098"/>
  <c r="J10" i="3098"/>
  <c r="K25" i="4"/>
  <c r="S3" i="3098"/>
  <c r="S123" i="3098"/>
  <c r="T66" i="41"/>
  <c r="T65" i="3098"/>
  <c r="S3" i="41"/>
  <c r="S136" i="41"/>
  <c r="BO102" i="41"/>
  <c r="BM105" i="41"/>
  <c r="BO105" i="41"/>
  <c r="BL103" i="41"/>
  <c r="BN106" i="41"/>
  <c r="BM104" i="41"/>
  <c r="AX91" i="41"/>
  <c r="H16" i="3098"/>
  <c r="I1" i="33"/>
  <c r="A77" i="33"/>
  <c r="K40" i="4"/>
  <c r="K26" i="4"/>
  <c r="U21" i="41"/>
  <c r="U22" i="41"/>
  <c r="V2" i="3098"/>
  <c r="U20" i="3098"/>
  <c r="U21" i="3098"/>
  <c r="V2" i="41"/>
  <c r="T32" i="3098"/>
  <c r="T33" i="41"/>
  <c r="F90" i="41"/>
  <c r="E91" i="41"/>
  <c r="D90" i="3098"/>
  <c r="E88" i="3098"/>
  <c r="E90" i="3098"/>
  <c r="D89" i="3098"/>
  <c r="E89" i="41"/>
  <c r="E94" i="41"/>
  <c r="AV139" i="3098"/>
  <c r="AV141" i="3098"/>
  <c r="AM148" i="3098"/>
  <c r="AH139" i="3098"/>
  <c r="AH141" i="3098"/>
  <c r="AF148" i="3098"/>
  <c r="AX137" i="3098"/>
  <c r="AY137" i="3098"/>
  <c r="AX139" i="3098"/>
  <c r="AN148" i="3098"/>
  <c r="K14" i="41"/>
  <c r="D27" i="3098"/>
  <c r="D27" i="41"/>
  <c r="K15" i="41"/>
  <c r="L14" i="41"/>
  <c r="K18" i="41"/>
  <c r="C26" i="41"/>
  <c r="V9" i="3098"/>
  <c r="P8" i="3098"/>
  <c r="Q8" i="3098"/>
  <c r="L18" i="41"/>
  <c r="L15" i="41"/>
  <c r="P11" i="3098"/>
  <c r="Q11" i="3098"/>
  <c r="R11" i="3098"/>
  <c r="E30" i="3098"/>
  <c r="C24" i="41"/>
  <c r="L6" i="3098"/>
  <c r="F30" i="3098"/>
  <c r="U7" i="3098"/>
  <c r="V7" i="3098"/>
  <c r="W7" i="3098"/>
  <c r="D24" i="3098"/>
  <c r="S4" i="3098"/>
  <c r="R5" i="3098"/>
  <c r="T12" i="3098"/>
  <c r="U12" i="3098"/>
  <c r="J13" i="3098"/>
  <c r="J16" i="3098"/>
  <c r="J15" i="3098"/>
  <c r="J17" i="3098"/>
  <c r="J14" i="3098"/>
  <c r="K10" i="3098"/>
  <c r="L10" i="3098"/>
  <c r="T3" i="41"/>
  <c r="T136" i="41"/>
  <c r="L25" i="4"/>
  <c r="T3" i="3098"/>
  <c r="T123" i="3098"/>
  <c r="U66" i="41"/>
  <c r="U65" i="3098"/>
  <c r="BM103" i="41"/>
  <c r="BO104" i="41"/>
  <c r="BN104" i="41"/>
  <c r="AW91" i="41"/>
  <c r="V20" i="3098"/>
  <c r="V21" i="3098"/>
  <c r="V21" i="41"/>
  <c r="V22" i="41"/>
  <c r="J1" i="33"/>
  <c r="A78" i="33"/>
  <c r="U32" i="3098"/>
  <c r="U33" i="41"/>
  <c r="E90" i="41"/>
  <c r="D91" i="41"/>
  <c r="AX141" i="3098"/>
  <c r="C90" i="3098"/>
  <c r="D88" i="3098"/>
  <c r="C89" i="3098"/>
  <c r="D89" i="41"/>
  <c r="D94" i="41"/>
  <c r="R8" i="3098"/>
  <c r="M18" i="41"/>
  <c r="C27" i="41"/>
  <c r="M14" i="41"/>
  <c r="M15" i="41"/>
  <c r="W9" i="3098"/>
  <c r="S8" i="3098"/>
  <c r="T8" i="3098"/>
  <c r="U8" i="3098"/>
  <c r="S11" i="3098"/>
  <c r="T11" i="3098"/>
  <c r="M6" i="3098"/>
  <c r="N6" i="3098"/>
  <c r="O6" i="3098"/>
  <c r="P6" i="3098"/>
  <c r="Q6" i="3098"/>
  <c r="R6" i="3098"/>
  <c r="S6" i="3098"/>
  <c r="D29" i="41"/>
  <c r="D30" i="3098"/>
  <c r="C30" i="3098"/>
  <c r="X7" i="3098"/>
  <c r="Y7" i="3098"/>
  <c r="Z7" i="3098"/>
  <c r="AA7" i="3098"/>
  <c r="AB7" i="3098"/>
  <c r="V12" i="3098"/>
  <c r="W12" i="3098"/>
  <c r="T4" i="3098"/>
  <c r="U4" i="3098"/>
  <c r="S5" i="3098"/>
  <c r="T5" i="3098"/>
  <c r="L13" i="3098"/>
  <c r="L14" i="3098"/>
  <c r="L17" i="3098"/>
  <c r="L15" i="3098"/>
  <c r="N15" i="41"/>
  <c r="N18" i="41"/>
  <c r="N14" i="41"/>
  <c r="M36" i="32"/>
  <c r="K15" i="3098"/>
  <c r="K17" i="3098"/>
  <c r="K13" i="3098"/>
  <c r="K14" i="3098"/>
  <c r="M10" i="3098"/>
  <c r="U3" i="3098"/>
  <c r="U123" i="3098"/>
  <c r="X2" i="41"/>
  <c r="M25" i="4"/>
  <c r="U136" i="41"/>
  <c r="U3" i="41"/>
  <c r="V65" i="3098"/>
  <c r="V66" i="41"/>
  <c r="BO103" i="41"/>
  <c r="BN103" i="41"/>
  <c r="AV91" i="41"/>
  <c r="W21" i="41"/>
  <c r="W22" i="41"/>
  <c r="W20" i="3098"/>
  <c r="W21" i="3098"/>
  <c r="K1" i="33"/>
  <c r="A79" i="33"/>
  <c r="X2" i="3098"/>
  <c r="M40" i="4"/>
  <c r="M26" i="4"/>
  <c r="V33" i="41"/>
  <c r="V32" i="3098"/>
  <c r="W2" i="41"/>
  <c r="W2" i="3098"/>
  <c r="C91" i="41"/>
  <c r="D90" i="41"/>
  <c r="B90" i="3098"/>
  <c r="M90" i="3098"/>
  <c r="C88" i="3098"/>
  <c r="B89" i="3098"/>
  <c r="M89" i="3098"/>
  <c r="C89" i="41"/>
  <c r="C94" i="41"/>
  <c r="AF139" i="3098"/>
  <c r="AE149" i="3098"/>
  <c r="AF149" i="3098"/>
  <c r="F25" i="3098"/>
  <c r="X9" i="3098"/>
  <c r="C29" i="41"/>
  <c r="V8" i="3098"/>
  <c r="U11" i="3098"/>
  <c r="V11" i="3098"/>
  <c r="T6" i="3098"/>
  <c r="U6" i="3098"/>
  <c r="D32" i="41"/>
  <c r="C32" i="41"/>
  <c r="E25" i="3098"/>
  <c r="C25" i="3098"/>
  <c r="R26" i="3098"/>
  <c r="AC7" i="3098"/>
  <c r="AD7" i="3098"/>
  <c r="AE7" i="3098"/>
  <c r="S26" i="3098"/>
  <c r="P26" i="3098"/>
  <c r="V4" i="3098"/>
  <c r="W4" i="3098"/>
  <c r="O14" i="41"/>
  <c r="O15" i="41"/>
  <c r="O18" i="41"/>
  <c r="U5" i="3098"/>
  <c r="V5" i="3098"/>
  <c r="X12" i="3098"/>
  <c r="M13" i="3098"/>
  <c r="M15" i="3098"/>
  <c r="M17" i="3098"/>
  <c r="M14" i="3098"/>
  <c r="L16" i="3098"/>
  <c r="K16" i="3098"/>
  <c r="N10" i="3098"/>
  <c r="O10" i="3098"/>
  <c r="C30" i="41"/>
  <c r="D30" i="41"/>
  <c r="V136" i="41"/>
  <c r="V3" i="41"/>
  <c r="W66" i="41"/>
  <c r="W65" i="3098"/>
  <c r="V123" i="3098"/>
  <c r="V3" i="3098"/>
  <c r="N25" i="4"/>
  <c r="AT91" i="41"/>
  <c r="AU91" i="41"/>
  <c r="N40" i="4"/>
  <c r="N26" i="4"/>
  <c r="Y2" i="41"/>
  <c r="X20" i="3098"/>
  <c r="X21" i="3098"/>
  <c r="Y2" i="3098"/>
  <c r="X21" i="41"/>
  <c r="X22" i="41"/>
  <c r="L1" i="33"/>
  <c r="W32" i="3098"/>
  <c r="W33" i="41"/>
  <c r="C90" i="41"/>
  <c r="B88" i="3098"/>
  <c r="M88" i="3098"/>
  <c r="AL10" i="3096"/>
  <c r="B89" i="41"/>
  <c r="AD141" i="3098"/>
  <c r="Y9" i="3098"/>
  <c r="W8" i="3098"/>
  <c r="X8" i="3098"/>
  <c r="Y8" i="3098"/>
  <c r="V6" i="3098"/>
  <c r="W6" i="3098"/>
  <c r="D25" i="3098"/>
  <c r="Q26" i="3098"/>
  <c r="P10" i="3098"/>
  <c r="O17" i="3098"/>
  <c r="O13" i="3098"/>
  <c r="O14" i="3098"/>
  <c r="O15" i="3098"/>
  <c r="Y12" i="3098"/>
  <c r="P18" i="41"/>
  <c r="P14" i="41"/>
  <c r="P15" i="41"/>
  <c r="W5" i="3098"/>
  <c r="X4" i="3098"/>
  <c r="W11" i="3098"/>
  <c r="N17" i="3098"/>
  <c r="N14" i="3098"/>
  <c r="N15" i="3098"/>
  <c r="N13" i="3098"/>
  <c r="E29" i="3098"/>
  <c r="F29" i="3098"/>
  <c r="M16" i="3098"/>
  <c r="O40" i="4"/>
  <c r="O26" i="4"/>
  <c r="O25" i="4"/>
  <c r="W3" i="3098"/>
  <c r="W123" i="3098"/>
  <c r="X66" i="41"/>
  <c r="X65" i="3098"/>
  <c r="W3" i="41"/>
  <c r="W136" i="41"/>
  <c r="BE91" i="41"/>
  <c r="B94" i="41"/>
  <c r="M94" i="41"/>
  <c r="M89" i="41"/>
  <c r="AF7" i="3098"/>
  <c r="AG7" i="3098"/>
  <c r="M1" i="33"/>
  <c r="Y21" i="41"/>
  <c r="Y22" i="41"/>
  <c r="Z2" i="3098"/>
  <c r="Y20" i="3098"/>
  <c r="Y21" i="3098"/>
  <c r="A82" i="33"/>
  <c r="A83" i="33"/>
  <c r="A80" i="33"/>
  <c r="A81" i="33"/>
  <c r="X32" i="3098"/>
  <c r="X33" i="41"/>
  <c r="AL24" i="3096"/>
  <c r="B90" i="41"/>
  <c r="M90" i="41"/>
  <c r="B91" i="41"/>
  <c r="M91" i="41"/>
  <c r="AG149" i="3098"/>
  <c r="Z9" i="3098"/>
  <c r="Z8" i="3098"/>
  <c r="AA8" i="3098"/>
  <c r="AB8" i="3098"/>
  <c r="X6" i="3098"/>
  <c r="Y6" i="3098"/>
  <c r="Y4" i="3098"/>
  <c r="R14" i="41"/>
  <c r="R18" i="41"/>
  <c r="R15" i="41"/>
  <c r="X5" i="3098"/>
  <c r="Y5" i="3098"/>
  <c r="X11" i="3098"/>
  <c r="Q15" i="41"/>
  <c r="Q18" i="41"/>
  <c r="Q14" i="41"/>
  <c r="Z12" i="3098"/>
  <c r="R25" i="41"/>
  <c r="Q10" i="3098"/>
  <c r="P14" i="3098"/>
  <c r="P17" i="3098"/>
  <c r="P15" i="3098"/>
  <c r="P13" i="3098"/>
  <c r="P16" i="3098"/>
  <c r="C29" i="3098"/>
  <c r="D29" i="3098"/>
  <c r="O16" i="3098"/>
  <c r="N16" i="3098"/>
  <c r="X3" i="3098"/>
  <c r="X123" i="3098"/>
  <c r="Y66" i="41"/>
  <c r="Y65" i="3098"/>
  <c r="Q25" i="4"/>
  <c r="P25" i="4"/>
  <c r="X136" i="41"/>
  <c r="X3" i="41"/>
  <c r="AH7" i="3098"/>
  <c r="P40" i="4"/>
  <c r="P26" i="4"/>
  <c r="Z21" i="41"/>
  <c r="Z22" i="41"/>
  <c r="N1" i="33"/>
  <c r="Z20" i="3098"/>
  <c r="Z21" i="3098"/>
  <c r="Z2" i="41"/>
  <c r="Y32" i="3098"/>
  <c r="Y33" i="41"/>
  <c r="AH149" i="3098"/>
  <c r="R27" i="3098"/>
  <c r="S27" i="3098"/>
  <c r="Z6" i="3098"/>
  <c r="AA6" i="3098"/>
  <c r="AC8" i="3098"/>
  <c r="AA9" i="3098"/>
  <c r="S25" i="3098"/>
  <c r="R28" i="41"/>
  <c r="T15" i="41"/>
  <c r="S18" i="41"/>
  <c r="S14" i="41"/>
  <c r="E36" i="33"/>
  <c r="S15" i="41"/>
  <c r="Q13" i="3098"/>
  <c r="Q14" i="3098"/>
  <c r="Q15" i="3098"/>
  <c r="Q17" i="3098"/>
  <c r="AA12" i="3098"/>
  <c r="S31" i="3098"/>
  <c r="Y11" i="3098"/>
  <c r="Z5" i="3098"/>
  <c r="R10" i="3098"/>
  <c r="Z4" i="3098"/>
  <c r="S25" i="41"/>
  <c r="P25" i="41"/>
  <c r="AA2" i="41"/>
  <c r="AA2" i="3098"/>
  <c r="Z66" i="41"/>
  <c r="Z65" i="3098"/>
  <c r="Y3" i="3098"/>
  <c r="Y123" i="3098"/>
  <c r="AA65" i="3098"/>
  <c r="AA66" i="41"/>
  <c r="Y3" i="41"/>
  <c r="Y136" i="41"/>
  <c r="AI7" i="3098"/>
  <c r="Q40" i="4"/>
  <c r="Q26" i="4"/>
  <c r="AA21" i="41"/>
  <c r="AA22" i="41"/>
  <c r="O1" i="33"/>
  <c r="AA20" i="3098"/>
  <c r="AA21" i="3098"/>
  <c r="Z32" i="3098"/>
  <c r="Z33" i="41"/>
  <c r="AI149" i="3098"/>
  <c r="AJ149" i="3098"/>
  <c r="Q27" i="3098"/>
  <c r="P27" i="3098"/>
  <c r="R25" i="3098"/>
  <c r="R28" i="3098"/>
  <c r="AB9" i="3098"/>
  <c r="AB6" i="3098"/>
  <c r="AD8" i="3098"/>
  <c r="S28" i="3098"/>
  <c r="P28" i="3098"/>
  <c r="P25" i="3098"/>
  <c r="Q25" i="3098"/>
  <c r="S28" i="41"/>
  <c r="P28" i="41"/>
  <c r="T14" i="41"/>
  <c r="F48" i="4"/>
  <c r="T18" i="41"/>
  <c r="R15" i="3098"/>
  <c r="R13" i="3098"/>
  <c r="R16" i="3098"/>
  <c r="R14" i="3098"/>
  <c r="R17" i="3098"/>
  <c r="AA5" i="3098"/>
  <c r="AB5" i="3098"/>
  <c r="AC5" i="3098"/>
  <c r="Z11" i="3098"/>
  <c r="S10" i="3098"/>
  <c r="T10" i="3098"/>
  <c r="Q28" i="41"/>
  <c r="Q25" i="41"/>
  <c r="Q16" i="3098"/>
  <c r="S31" i="41"/>
  <c r="R31" i="41"/>
  <c r="AA11" i="3098"/>
  <c r="AB12" i="3098"/>
  <c r="R31" i="3098"/>
  <c r="AA4" i="3098"/>
  <c r="AA3" i="3098"/>
  <c r="AA123" i="3098"/>
  <c r="Z3" i="41"/>
  <c r="Z136" i="41"/>
  <c r="AA136" i="41"/>
  <c r="AA3" i="41"/>
  <c r="Z123" i="3098"/>
  <c r="Z3" i="3098"/>
  <c r="AJ7" i="3098"/>
  <c r="AK7" i="3098"/>
  <c r="AC2" i="41"/>
  <c r="E63" i="4"/>
  <c r="E49" i="4"/>
  <c r="AB2" i="41"/>
  <c r="AB20" i="3098"/>
  <c r="AB21" i="3098"/>
  <c r="AB2" i="3098"/>
  <c r="C1" i="34"/>
  <c r="A71" i="34"/>
  <c r="AB21" i="41"/>
  <c r="AB22" i="41"/>
  <c r="AA33" i="41"/>
  <c r="AA32" i="3098"/>
  <c r="AK149" i="3098"/>
  <c r="Q28" i="3098"/>
  <c r="AC9" i="3098"/>
  <c r="S32" i="41"/>
  <c r="AC6" i="3098"/>
  <c r="AD6" i="3098"/>
  <c r="AE8" i="3098"/>
  <c r="S26" i="41"/>
  <c r="R26" i="41"/>
  <c r="V15" i="41"/>
  <c r="V18" i="41"/>
  <c r="V14" i="41"/>
  <c r="U18" i="41"/>
  <c r="U15" i="41"/>
  <c r="U14" i="41"/>
  <c r="R24" i="3098"/>
  <c r="S24" i="3098"/>
  <c r="U10" i="3098"/>
  <c r="V10" i="3098"/>
  <c r="T14" i="3098"/>
  <c r="T15" i="3098"/>
  <c r="T17" i="3098"/>
  <c r="T13" i="3098"/>
  <c r="P31" i="3098"/>
  <c r="Q31" i="3098"/>
  <c r="S23" i="3098"/>
  <c r="AC12" i="3098"/>
  <c r="AD12" i="3098"/>
  <c r="AB4" i="3098"/>
  <c r="Q31" i="41"/>
  <c r="P31" i="41"/>
  <c r="S15" i="3098"/>
  <c r="S13" i="3098"/>
  <c r="S17" i="3098"/>
  <c r="S14" i="3098"/>
  <c r="AB11" i="3098"/>
  <c r="S30" i="3098"/>
  <c r="R30" i="3098"/>
  <c r="AD5" i="3098"/>
  <c r="R23" i="3098"/>
  <c r="AC2" i="3098"/>
  <c r="AL7" i="3098"/>
  <c r="AM7" i="3098"/>
  <c r="AN7" i="3098"/>
  <c r="AF26" i="3098"/>
  <c r="AB66" i="41"/>
  <c r="AB65" i="3098"/>
  <c r="AB32" i="3098"/>
  <c r="AB33" i="41"/>
  <c r="D1" i="34"/>
  <c r="A72" i="34"/>
  <c r="F63" i="4"/>
  <c r="F49" i="4"/>
  <c r="AC21" i="41"/>
  <c r="AC22" i="41"/>
  <c r="AC20" i="3098"/>
  <c r="AC21" i="3098"/>
  <c r="AL149" i="3098"/>
  <c r="R32" i="41"/>
  <c r="S24" i="41"/>
  <c r="AE6" i="3098"/>
  <c r="AD9" i="3098"/>
  <c r="AF8" i="3098"/>
  <c r="AG8" i="3098"/>
  <c r="R24" i="41"/>
  <c r="Q26" i="41"/>
  <c r="P26" i="41"/>
  <c r="W14" i="41"/>
  <c r="W18" i="41"/>
  <c r="W15" i="41"/>
  <c r="I38" i="33"/>
  <c r="P24" i="3098"/>
  <c r="Q24" i="3098"/>
  <c r="P23" i="3098"/>
  <c r="Q23" i="3098"/>
  <c r="S16" i="3098"/>
  <c r="T16" i="3098"/>
  <c r="V17" i="3098"/>
  <c r="V14" i="3098"/>
  <c r="V15" i="3098"/>
  <c r="V13" i="3098"/>
  <c r="U14" i="3098"/>
  <c r="U13" i="3098"/>
  <c r="U15" i="3098"/>
  <c r="U17" i="3098"/>
  <c r="S27" i="41"/>
  <c r="R27" i="41"/>
  <c r="P30" i="3098"/>
  <c r="Q30" i="3098"/>
  <c r="AE5" i="3098"/>
  <c r="AC11" i="3098"/>
  <c r="AC4" i="3098"/>
  <c r="AE12" i="3098"/>
  <c r="W10" i="3098"/>
  <c r="AO7" i="3098"/>
  <c r="AE26" i="3098"/>
  <c r="AC26" i="3098"/>
  <c r="AB3" i="3098"/>
  <c r="AB123" i="3098"/>
  <c r="AB3" i="41"/>
  <c r="AB136" i="41"/>
  <c r="AC66" i="41"/>
  <c r="AC65" i="3098"/>
  <c r="AD21" i="41"/>
  <c r="AD22" i="41"/>
  <c r="AD20" i="3098"/>
  <c r="AD21" i="3098"/>
  <c r="E1" i="34"/>
  <c r="A73" i="34"/>
  <c r="AE2" i="3098"/>
  <c r="AE2" i="41"/>
  <c r="AC32" i="3098"/>
  <c r="AC33" i="41"/>
  <c r="AD2" i="41"/>
  <c r="AD2" i="3098"/>
  <c r="AM149" i="3098"/>
  <c r="P24" i="41"/>
  <c r="Q24" i="41"/>
  <c r="Q32" i="41"/>
  <c r="P32" i="41"/>
  <c r="AE9" i="3098"/>
  <c r="AF6" i="3098"/>
  <c r="AG6" i="3098"/>
  <c r="AH6" i="3098"/>
  <c r="AH8" i="3098"/>
  <c r="AI8" i="3098"/>
  <c r="X14" i="41"/>
  <c r="X18" i="41"/>
  <c r="X15" i="41"/>
  <c r="I48" i="4"/>
  <c r="P27" i="41"/>
  <c r="V16" i="3098"/>
  <c r="W13" i="3098"/>
  <c r="W16" i="3098"/>
  <c r="W17" i="3098"/>
  <c r="W14" i="3098"/>
  <c r="W15" i="3098"/>
  <c r="AF12" i="3098"/>
  <c r="AG12" i="3098"/>
  <c r="AD4" i="3098"/>
  <c r="AF5" i="3098"/>
  <c r="Q27" i="41"/>
  <c r="U16" i="3098"/>
  <c r="X10" i="3098"/>
  <c r="AD11" i="3098"/>
  <c r="AP7" i="3098"/>
  <c r="AQ7" i="3098"/>
  <c r="AD26" i="3098"/>
  <c r="AC3" i="3098"/>
  <c r="AC123" i="3098"/>
  <c r="AF2" i="41"/>
  <c r="AC3" i="41"/>
  <c r="AC136" i="41"/>
  <c r="AD66" i="41"/>
  <c r="AD65" i="3098"/>
  <c r="AD33" i="41"/>
  <c r="AD32" i="3098"/>
  <c r="AF2" i="3098"/>
  <c r="F1" i="34"/>
  <c r="A74" i="34"/>
  <c r="AE21" i="41"/>
  <c r="AE22" i="41"/>
  <c r="AE20" i="3098"/>
  <c r="AE21" i="3098"/>
  <c r="AN149" i="3098"/>
  <c r="Z14" i="41"/>
  <c r="AI6" i="3098"/>
  <c r="AJ8" i="3098"/>
  <c r="AK8" i="3098"/>
  <c r="AF9" i="3098"/>
  <c r="AG9" i="3098"/>
  <c r="Z15" i="41"/>
  <c r="Z18" i="41"/>
  <c r="Y15" i="41"/>
  <c r="Y14" i="41"/>
  <c r="Y18" i="41"/>
  <c r="S30" i="41"/>
  <c r="AA18" i="41"/>
  <c r="J48" i="4"/>
  <c r="AA15" i="41"/>
  <c r="R30" i="41"/>
  <c r="P30" i="41"/>
  <c r="I40" i="33"/>
  <c r="AH12" i="3098"/>
  <c r="AI12" i="3098"/>
  <c r="Y10" i="3098"/>
  <c r="AG5" i="3098"/>
  <c r="AH5" i="3098"/>
  <c r="Q30" i="41"/>
  <c r="AE4" i="3098"/>
  <c r="AE11" i="3098"/>
  <c r="X17" i="3098"/>
  <c r="X13" i="3098"/>
  <c r="X15" i="3098"/>
  <c r="X14" i="3098"/>
  <c r="AR7" i="3098"/>
  <c r="AS7" i="3098"/>
  <c r="AT7" i="3098"/>
  <c r="AD3" i="3098"/>
  <c r="AD123" i="3098"/>
  <c r="AD3" i="41"/>
  <c r="AD136" i="41"/>
  <c r="AE66" i="41"/>
  <c r="AE65" i="3098"/>
  <c r="AE33" i="41"/>
  <c r="AE32" i="3098"/>
  <c r="AF21" i="41"/>
  <c r="AF22" i="41"/>
  <c r="AF20" i="3098"/>
  <c r="AF21" i="3098"/>
  <c r="G1" i="34"/>
  <c r="A75" i="34"/>
  <c r="I63" i="4"/>
  <c r="I49" i="4"/>
  <c r="AG2" i="3098"/>
  <c r="S29" i="41"/>
  <c r="AL8" i="3098"/>
  <c r="AM8" i="3098"/>
  <c r="AA14" i="41"/>
  <c r="AH9" i="3098"/>
  <c r="AI9" i="3098"/>
  <c r="AJ6" i="3098"/>
  <c r="AK6" i="3098"/>
  <c r="M36" i="33"/>
  <c r="R29" i="41"/>
  <c r="AB15" i="41"/>
  <c r="K48" i="4"/>
  <c r="AC14" i="41"/>
  <c r="AI5" i="3098"/>
  <c r="AJ5" i="3098"/>
  <c r="Z10" i="3098"/>
  <c r="Y17" i="3098"/>
  <c r="Y14" i="3098"/>
  <c r="Y13" i="3098"/>
  <c r="Y16" i="3098"/>
  <c r="Y15" i="3098"/>
  <c r="X16" i="3098"/>
  <c r="AF4" i="3098"/>
  <c r="AJ12" i="3098"/>
  <c r="AF11" i="3098"/>
  <c r="AG11" i="3098"/>
  <c r="AH11" i="3098"/>
  <c r="AU7" i="3098"/>
  <c r="AE3" i="41"/>
  <c r="AE136" i="41"/>
  <c r="AF66" i="41"/>
  <c r="AF65" i="3098"/>
  <c r="AE3" i="3098"/>
  <c r="AE123" i="3098"/>
  <c r="AF33" i="41"/>
  <c r="AF32" i="3098"/>
  <c r="AH2" i="41"/>
  <c r="AG21" i="41"/>
  <c r="AG22" i="41"/>
  <c r="H1" i="34"/>
  <c r="A76" i="34"/>
  <c r="AG20" i="3098"/>
  <c r="AG21" i="3098"/>
  <c r="J63" i="4"/>
  <c r="J49" i="4"/>
  <c r="AH2" i="3098"/>
  <c r="AG2" i="41"/>
  <c r="AB18" i="41"/>
  <c r="AJ9" i="3098"/>
  <c r="AK9" i="3098"/>
  <c r="AL9" i="3098"/>
  <c r="AM9" i="3098"/>
  <c r="AB14" i="41"/>
  <c r="AC15" i="41"/>
  <c r="Q29" i="41"/>
  <c r="AN8" i="3098"/>
  <c r="AL6" i="3098"/>
  <c r="AF18" i="41"/>
  <c r="AC18" i="41"/>
  <c r="P29" i="41"/>
  <c r="L48" i="4"/>
  <c r="AF15" i="41"/>
  <c r="AG4" i="3098"/>
  <c r="AI11" i="3098"/>
  <c r="AK12" i="3098"/>
  <c r="AA10" i="3098"/>
  <c r="AB10" i="3098"/>
  <c r="Z13" i="3098"/>
  <c r="Z14" i="3098"/>
  <c r="Z17" i="3098"/>
  <c r="Z15" i="3098"/>
  <c r="AK5" i="3098"/>
  <c r="AV7" i="3098"/>
  <c r="AI2" i="41"/>
  <c r="AF3" i="3098"/>
  <c r="AF123" i="3098"/>
  <c r="AG66" i="41"/>
  <c r="AG65" i="3098"/>
  <c r="AF3" i="41"/>
  <c r="AF136" i="41"/>
  <c r="AG33" i="41"/>
  <c r="AG32" i="3098"/>
  <c r="AH20" i="3098"/>
  <c r="AH21" i="3098"/>
  <c r="AH21" i="41"/>
  <c r="AH22" i="41"/>
  <c r="I1" i="34"/>
  <c r="A77" i="34"/>
  <c r="AI2" i="3098"/>
  <c r="AD18" i="41"/>
  <c r="AD15" i="41"/>
  <c r="AD14" i="41"/>
  <c r="AO8" i="3098"/>
  <c r="AP8" i="3098"/>
  <c r="AQ8" i="3098"/>
  <c r="AF27" i="3098"/>
  <c r="AE27" i="3098"/>
  <c r="AF14" i="41"/>
  <c r="AE18" i="41"/>
  <c r="E36" i="34"/>
  <c r="AE15" i="41"/>
  <c r="AE14" i="41"/>
  <c r="AM6" i="3098"/>
  <c r="AE26" i="41"/>
  <c r="M48" i="4"/>
  <c r="AB17" i="3098"/>
  <c r="AB15" i="3098"/>
  <c r="AB13" i="3098"/>
  <c r="AB14" i="3098"/>
  <c r="AL5" i="3098"/>
  <c r="AM5" i="3098"/>
  <c r="AC10" i="3098"/>
  <c r="AJ11" i="3098"/>
  <c r="AA15" i="3098"/>
  <c r="AA14" i="3098"/>
  <c r="AA13" i="3098"/>
  <c r="AB16" i="3098"/>
  <c r="AA17" i="3098"/>
  <c r="S29" i="3098"/>
  <c r="R29" i="3098"/>
  <c r="Z16" i="3098"/>
  <c r="AL12" i="3098"/>
  <c r="AM12" i="3098"/>
  <c r="AH4" i="3098"/>
  <c r="AN9" i="3098"/>
  <c r="AO9" i="3098"/>
  <c r="AW7" i="3098"/>
  <c r="AG3" i="3098"/>
  <c r="AG123" i="3098"/>
  <c r="AG3" i="41"/>
  <c r="AG136" i="41"/>
  <c r="AH66" i="41"/>
  <c r="AH65" i="3098"/>
  <c r="J1" i="34"/>
  <c r="A78" i="34"/>
  <c r="AI21" i="41"/>
  <c r="AI22" i="41"/>
  <c r="AI20" i="3098"/>
  <c r="AI21" i="3098"/>
  <c r="AJ2" i="3098"/>
  <c r="AJ2" i="41"/>
  <c r="AH33" i="41"/>
  <c r="AH32" i="3098"/>
  <c r="AD27" i="3098"/>
  <c r="AC27" i="3098"/>
  <c r="AR8" i="3098"/>
  <c r="AS8" i="3098"/>
  <c r="AN6" i="3098"/>
  <c r="AG14" i="41"/>
  <c r="AG18" i="41"/>
  <c r="AG15" i="41"/>
  <c r="AF26" i="41"/>
  <c r="AC26" i="41"/>
  <c r="N48" i="4"/>
  <c r="AF25" i="41"/>
  <c r="Q29" i="3098"/>
  <c r="P29" i="3098"/>
  <c r="AF31" i="41"/>
  <c r="AN12" i="3098"/>
  <c r="AK11" i="3098"/>
  <c r="AI4" i="3098"/>
  <c r="AF28" i="41"/>
  <c r="AE25" i="41"/>
  <c r="AA16" i="3098"/>
  <c r="AE28" i="41"/>
  <c r="AC28" i="41"/>
  <c r="AL11" i="3098"/>
  <c r="AD10" i="3098"/>
  <c r="AC15" i="3098"/>
  <c r="AC13" i="3098"/>
  <c r="AC14" i="3098"/>
  <c r="AC17" i="3098"/>
  <c r="AN5" i="3098"/>
  <c r="AF24" i="3098"/>
  <c r="AE28" i="3098"/>
  <c r="AP9" i="3098"/>
  <c r="AQ9" i="3098"/>
  <c r="AR9" i="3098"/>
  <c r="AX7" i="3098"/>
  <c r="AF28" i="3098"/>
  <c r="AH3" i="3098"/>
  <c r="AH123" i="3098"/>
  <c r="AI66" i="41"/>
  <c r="AI65" i="3098"/>
  <c r="AH3" i="41"/>
  <c r="AH136" i="41"/>
  <c r="AI32" i="3098"/>
  <c r="AI33" i="41"/>
  <c r="AJ20" i="3098"/>
  <c r="AJ21" i="3098"/>
  <c r="M63" i="4"/>
  <c r="M49" i="4"/>
  <c r="AJ21" i="41"/>
  <c r="AJ22" i="41"/>
  <c r="K1" i="34"/>
  <c r="A79" i="34"/>
  <c r="AK2" i="41"/>
  <c r="AT8" i="3098"/>
  <c r="AH18" i="41"/>
  <c r="AH15" i="41"/>
  <c r="I38" i="34"/>
  <c r="AH14" i="41"/>
  <c r="AE25" i="3098"/>
  <c r="AF25" i="3098"/>
  <c r="AD25" i="3098"/>
  <c r="AO6" i="3098"/>
  <c r="AD26" i="41"/>
  <c r="AD25" i="41"/>
  <c r="O48" i="4"/>
  <c r="AM11" i="3098"/>
  <c r="AN11" i="3098"/>
  <c r="AO11" i="3098"/>
  <c r="AP11" i="3098"/>
  <c r="AQ11" i="3098"/>
  <c r="AR11" i="3098"/>
  <c r="AC16" i="3098"/>
  <c r="AD28" i="41"/>
  <c r="AF30" i="3098"/>
  <c r="AE24" i="3098"/>
  <c r="AE10" i="3098"/>
  <c r="AD15" i="3098"/>
  <c r="AD13" i="3098"/>
  <c r="AD16" i="3098"/>
  <c r="AD14" i="3098"/>
  <c r="AD17" i="3098"/>
  <c r="AJ4" i="3098"/>
  <c r="AO5" i="3098"/>
  <c r="AP5" i="3098"/>
  <c r="AO12" i="3098"/>
  <c r="AE31" i="3098"/>
  <c r="AF31" i="3098"/>
  <c r="AE31" i="41"/>
  <c r="AC25" i="41"/>
  <c r="AD28" i="3098"/>
  <c r="AS9" i="3098"/>
  <c r="AT9" i="3098"/>
  <c r="AC28" i="3098"/>
  <c r="AY7" i="3098"/>
  <c r="AJ66" i="41"/>
  <c r="AJ65" i="3098"/>
  <c r="AI3" i="3098"/>
  <c r="AI123" i="3098"/>
  <c r="AI3" i="41"/>
  <c r="AI136" i="41"/>
  <c r="L1" i="34"/>
  <c r="A80" i="34"/>
  <c r="N63" i="4"/>
  <c r="N49" i="4"/>
  <c r="AK21" i="41"/>
  <c r="AK22" i="41"/>
  <c r="AK20" i="3098"/>
  <c r="AK21" i="3098"/>
  <c r="AL2" i="41"/>
  <c r="AL2" i="3098"/>
  <c r="AJ32" i="3098"/>
  <c r="AJ33" i="41"/>
  <c r="AK2" i="3098"/>
  <c r="AU8" i="3098"/>
  <c r="AF24" i="41"/>
  <c r="AE24" i="41"/>
  <c r="AC25" i="3098"/>
  <c r="AI18" i="41"/>
  <c r="AI14" i="41"/>
  <c r="AI15" i="41"/>
  <c r="AP6" i="3098"/>
  <c r="Q48" i="4"/>
  <c r="P48" i="4"/>
  <c r="AE30" i="3098"/>
  <c r="AD30" i="3098"/>
  <c r="AD31" i="3098"/>
  <c r="AC31" i="3098"/>
  <c r="AK4" i="3098"/>
  <c r="AD24" i="3098"/>
  <c r="AC24" i="3098"/>
  <c r="AD31" i="41"/>
  <c r="AC31" i="41"/>
  <c r="AP12" i="3098"/>
  <c r="AE30" i="41"/>
  <c r="AE13" i="3098"/>
  <c r="AE17" i="3098"/>
  <c r="AE14" i="3098"/>
  <c r="AE15" i="3098"/>
  <c r="AF10" i="3098"/>
  <c r="AQ5" i="3098"/>
  <c r="AS11" i="3098"/>
  <c r="AU9" i="3098"/>
  <c r="AV9" i="3098"/>
  <c r="AZ7" i="3098"/>
  <c r="AK66" i="41"/>
  <c r="AK65" i="3098"/>
  <c r="AJ3" i="3098"/>
  <c r="AJ123" i="3098"/>
  <c r="AJ3" i="41"/>
  <c r="AJ136" i="41"/>
  <c r="AK33" i="41"/>
  <c r="AK32" i="3098"/>
  <c r="AL21" i="41"/>
  <c r="AL22" i="41"/>
  <c r="AL20" i="3098"/>
  <c r="AL21" i="3098"/>
  <c r="M1" i="34"/>
  <c r="A81" i="34"/>
  <c r="O63" i="4"/>
  <c r="O49" i="4"/>
  <c r="AV8" i="3098"/>
  <c r="AW8" i="3098"/>
  <c r="AJ15" i="41"/>
  <c r="AJ18" i="41"/>
  <c r="AJ14" i="41"/>
  <c r="AQ6" i="3098"/>
  <c r="AF32" i="41"/>
  <c r="AC24" i="41"/>
  <c r="AD24" i="41"/>
  <c r="AC30" i="3098"/>
  <c r="AT11" i="3098"/>
  <c r="AE16" i="3098"/>
  <c r="AR5" i="3098"/>
  <c r="AS5" i="3098"/>
  <c r="AG10" i="3098"/>
  <c r="AF13" i="3098"/>
  <c r="AF16" i="3098"/>
  <c r="AF15" i="3098"/>
  <c r="AF17" i="3098"/>
  <c r="AF14" i="3098"/>
  <c r="AF30" i="41"/>
  <c r="AC30" i="41"/>
  <c r="AQ12" i="3098"/>
  <c r="AL4" i="3098"/>
  <c r="AM4" i="3098"/>
  <c r="AM2" i="41"/>
  <c r="AW9" i="3098"/>
  <c r="BA7" i="3098"/>
  <c r="AL66" i="41"/>
  <c r="AL65" i="3098"/>
  <c r="AK3" i="3098"/>
  <c r="AK123" i="3098"/>
  <c r="AN2" i="41"/>
  <c r="AK3" i="41"/>
  <c r="AK136" i="41"/>
  <c r="AL33" i="41"/>
  <c r="AL32" i="3098"/>
  <c r="N1" i="34"/>
  <c r="A82" i="34"/>
  <c r="P63" i="4"/>
  <c r="P49" i="4"/>
  <c r="AM21" i="41"/>
  <c r="AM22" i="41"/>
  <c r="AM20" i="3098"/>
  <c r="AM21" i="3098"/>
  <c r="AN2" i="3098"/>
  <c r="AM2" i="3098"/>
  <c r="AX8" i="3098"/>
  <c r="AY8" i="3098"/>
  <c r="AZ8" i="3098"/>
  <c r="BA8" i="3098"/>
  <c r="AK15" i="41"/>
  <c r="AK18" i="41"/>
  <c r="AK14" i="41"/>
  <c r="AE32" i="41"/>
  <c r="AR6" i="3098"/>
  <c r="AT5" i="3098"/>
  <c r="AR12" i="3098"/>
  <c r="AS12" i="3098"/>
  <c r="AH10" i="3098"/>
  <c r="AG17" i="3098"/>
  <c r="AG15" i="3098"/>
  <c r="AG13" i="3098"/>
  <c r="AG16" i="3098"/>
  <c r="AG14" i="3098"/>
  <c r="AD30" i="41"/>
  <c r="AU11" i="3098"/>
  <c r="AV11" i="3098"/>
  <c r="AN4" i="3098"/>
  <c r="AX9" i="3098"/>
  <c r="AY9" i="3098"/>
  <c r="BB7" i="3098"/>
  <c r="AR26" i="3098"/>
  <c r="BC7" i="3098"/>
  <c r="AS26" i="3098"/>
  <c r="AM66" i="41"/>
  <c r="AM65" i="3098"/>
  <c r="AL3" i="3098"/>
  <c r="AL123" i="3098"/>
  <c r="AL3" i="41"/>
  <c r="AL136" i="41"/>
  <c r="AM32" i="3098"/>
  <c r="AM33" i="41"/>
  <c r="AN21" i="41"/>
  <c r="AN22" i="41"/>
  <c r="AN20" i="3098"/>
  <c r="AN21" i="3098"/>
  <c r="O1" i="34"/>
  <c r="A83" i="34"/>
  <c r="Q63" i="4"/>
  <c r="Q49" i="4"/>
  <c r="AM18" i="41"/>
  <c r="AM15" i="41"/>
  <c r="AM14" i="41"/>
  <c r="AS27" i="3098"/>
  <c r="AR27" i="3098"/>
  <c r="BB8" i="3098"/>
  <c r="BC8" i="3098"/>
  <c r="AS6" i="3098"/>
  <c r="AT6" i="3098"/>
  <c r="AD32" i="41"/>
  <c r="AC32" i="41"/>
  <c r="AF29" i="41"/>
  <c r="AL15" i="41"/>
  <c r="AL14" i="41"/>
  <c r="AL18" i="41"/>
  <c r="BC6" i="41"/>
  <c r="AE27" i="41"/>
  <c r="AF27" i="41"/>
  <c r="AT12" i="3098"/>
  <c r="AU12" i="3098"/>
  <c r="AV12" i="3098"/>
  <c r="AE23" i="3098"/>
  <c r="AF23" i="3098"/>
  <c r="AO4" i="3098"/>
  <c r="AW11" i="3098"/>
  <c r="AX11" i="3098"/>
  <c r="AI10" i="3098"/>
  <c r="AJ10" i="3098"/>
  <c r="AH14" i="3098"/>
  <c r="AH13" i="3098"/>
  <c r="AH15" i="3098"/>
  <c r="AH17" i="3098"/>
  <c r="AU5" i="3098"/>
  <c r="AZ9" i="3098"/>
  <c r="BA9" i="3098"/>
  <c r="BE7" i="3098"/>
  <c r="BD7" i="3098"/>
  <c r="AQ26" i="3098"/>
  <c r="AP26" i="3098"/>
  <c r="AN66" i="41"/>
  <c r="AN65" i="3098"/>
  <c r="AM3" i="3098"/>
  <c r="AM123" i="3098"/>
  <c r="AP2" i="3098"/>
  <c r="E71" i="4"/>
  <c r="AM3" i="41"/>
  <c r="AM136" i="41"/>
  <c r="AN32" i="3098"/>
  <c r="AN33" i="41"/>
  <c r="AO20" i="3098"/>
  <c r="AO21" i="3098"/>
  <c r="AO21" i="41"/>
  <c r="AO22" i="41"/>
  <c r="AO2" i="3098"/>
  <c r="AO2" i="41"/>
  <c r="C1" i="37"/>
  <c r="A71" i="37"/>
  <c r="E86" i="4"/>
  <c r="E72" i="4"/>
  <c r="M36" i="34"/>
  <c r="AN18" i="41"/>
  <c r="AN15" i="41"/>
  <c r="AN14" i="41"/>
  <c r="AE29" i="41"/>
  <c r="AC29" i="41"/>
  <c r="AU6" i="3098"/>
  <c r="AV6" i="3098"/>
  <c r="AQ27" i="3098"/>
  <c r="AP27" i="3098"/>
  <c r="BE8" i="3098"/>
  <c r="BD8" i="3098"/>
  <c r="AD29" i="41"/>
  <c r="BB6" i="41"/>
  <c r="AR26" i="41"/>
  <c r="AS26" i="41"/>
  <c r="AR25" i="41"/>
  <c r="BB9" i="3098"/>
  <c r="AR28" i="3098"/>
  <c r="AP4" i="3098"/>
  <c r="AQ4" i="3098"/>
  <c r="AD23" i="3098"/>
  <c r="AC23" i="3098"/>
  <c r="AV5" i="3098"/>
  <c r="AW5" i="3098"/>
  <c r="AX5" i="3098"/>
  <c r="AK10" i="3098"/>
  <c r="AJ15" i="3098"/>
  <c r="AJ17" i="3098"/>
  <c r="AJ14" i="3098"/>
  <c r="AJ13" i="3098"/>
  <c r="AH16" i="3098"/>
  <c r="AI15" i="3098"/>
  <c r="AI14" i="3098"/>
  <c r="AI13" i="3098"/>
  <c r="AI16" i="3098"/>
  <c r="AI17" i="3098"/>
  <c r="AW12" i="3098"/>
  <c r="AO14" i="41"/>
  <c r="AO15" i="41"/>
  <c r="AO18" i="41"/>
  <c r="AD27" i="41"/>
  <c r="AC27" i="41"/>
  <c r="AY11" i="3098"/>
  <c r="AP2" i="41"/>
  <c r="AS28" i="3098"/>
  <c r="BC9" i="3098"/>
  <c r="AO66" i="41"/>
  <c r="AO65" i="3098"/>
  <c r="AN3" i="3098"/>
  <c r="AN123" i="3098"/>
  <c r="F71" i="4"/>
  <c r="AN3" i="41"/>
  <c r="AN136" i="41"/>
  <c r="AO33" i="41"/>
  <c r="AO32" i="3098"/>
  <c r="AP20" i="3098"/>
  <c r="AP21" i="3098"/>
  <c r="D1" i="37"/>
  <c r="A72" i="37"/>
  <c r="AP21" i="41"/>
  <c r="AP22" i="41"/>
  <c r="F86" i="4"/>
  <c r="F72" i="4"/>
  <c r="AP18" i="41"/>
  <c r="AP14" i="41"/>
  <c r="AP15" i="41"/>
  <c r="BC5" i="41"/>
  <c r="AQ14" i="41"/>
  <c r="AQ18" i="41"/>
  <c r="AQ15" i="41"/>
  <c r="AW6" i="3098"/>
  <c r="AX6" i="3098"/>
  <c r="AP26" i="41"/>
  <c r="AQ26" i="41"/>
  <c r="BD6" i="41"/>
  <c r="BE6" i="41"/>
  <c r="BB5" i="41"/>
  <c r="BE9" i="3098"/>
  <c r="AS25" i="41"/>
  <c r="AQ25" i="41"/>
  <c r="AQ28" i="3098"/>
  <c r="AP28" i="3098"/>
  <c r="AS31" i="41"/>
  <c r="BC11" i="41"/>
  <c r="BB11" i="41"/>
  <c r="AR31" i="41"/>
  <c r="AR4" i="3098"/>
  <c r="AS4" i="3098"/>
  <c r="AJ16" i="3098"/>
  <c r="AK17" i="3098"/>
  <c r="AK13" i="3098"/>
  <c r="AK14" i="3098"/>
  <c r="AK15" i="3098"/>
  <c r="AZ11" i="3098"/>
  <c r="BA11" i="3098"/>
  <c r="AS30" i="3098"/>
  <c r="AX12" i="3098"/>
  <c r="AL10" i="3098"/>
  <c r="AY5" i="3098"/>
  <c r="AZ5" i="3098"/>
  <c r="BA5" i="3098"/>
  <c r="AS24" i="3098"/>
  <c r="BD9" i="3098"/>
  <c r="AQ2" i="41"/>
  <c r="AQ2" i="3098"/>
  <c r="H71" i="4"/>
  <c r="G71" i="4"/>
  <c r="AO3" i="3098"/>
  <c r="AO123" i="3098"/>
  <c r="AP66" i="41"/>
  <c r="AP65" i="3098"/>
  <c r="AO3" i="41"/>
  <c r="AO136" i="41"/>
  <c r="AP32" i="3098"/>
  <c r="AP33" i="41"/>
  <c r="AR2" i="3098"/>
  <c r="AQ21" i="41"/>
  <c r="AQ22" i="41"/>
  <c r="AQ20" i="3098"/>
  <c r="AQ21" i="3098"/>
  <c r="E1" i="37"/>
  <c r="A73" i="37"/>
  <c r="G86" i="4"/>
  <c r="G72" i="4"/>
  <c r="BD5" i="41"/>
  <c r="AR14" i="41"/>
  <c r="BE5" i="41"/>
  <c r="AP25" i="41"/>
  <c r="E36" i="37"/>
  <c r="AR15" i="41"/>
  <c r="AR18" i="41"/>
  <c r="AY6" i="3098"/>
  <c r="AZ6" i="3098"/>
  <c r="AQ31" i="41"/>
  <c r="AP31" i="41"/>
  <c r="BD11" i="41"/>
  <c r="BE11" i="41"/>
  <c r="AR24" i="3098"/>
  <c r="AQ24" i="3098"/>
  <c r="AR30" i="3098"/>
  <c r="AP30" i="3098"/>
  <c r="BB5" i="3098"/>
  <c r="AY12" i="3098"/>
  <c r="AZ12" i="3098"/>
  <c r="BC11" i="3098"/>
  <c r="AM10" i="3098"/>
  <c r="AL15" i="3098"/>
  <c r="AL17" i="3098"/>
  <c r="AL13" i="3098"/>
  <c r="AL14" i="3098"/>
  <c r="BB11" i="3098"/>
  <c r="BC5" i="3098"/>
  <c r="AT4" i="3098"/>
  <c r="AK16" i="3098"/>
  <c r="AP3" i="3098"/>
  <c r="AP123" i="3098"/>
  <c r="AQ65" i="3098"/>
  <c r="AQ66" i="41"/>
  <c r="AP3" i="41"/>
  <c r="AP136" i="41"/>
  <c r="AR66" i="41"/>
  <c r="AR65" i="3098"/>
  <c r="AR2" i="41"/>
  <c r="AQ32" i="3098"/>
  <c r="AQ33" i="41"/>
  <c r="AR21" i="41"/>
  <c r="AR22" i="41"/>
  <c r="AR20" i="3098"/>
  <c r="AR21" i="3098"/>
  <c r="I71" i="4"/>
  <c r="F1" i="37"/>
  <c r="A74" i="37"/>
  <c r="AS15" i="41"/>
  <c r="AS14" i="41"/>
  <c r="AT14" i="41"/>
  <c r="AQ30" i="3098"/>
  <c r="AS18" i="41"/>
  <c r="BA6" i="3098"/>
  <c r="AP24" i="3098"/>
  <c r="BD11" i="3098"/>
  <c r="BD5" i="3098"/>
  <c r="BA12" i="3098"/>
  <c r="BB12" i="3098"/>
  <c r="AL16" i="3098"/>
  <c r="AN10" i="3098"/>
  <c r="AO10" i="3098"/>
  <c r="AM15" i="3098"/>
  <c r="AM17" i="3098"/>
  <c r="AM14" i="3098"/>
  <c r="AM13" i="3098"/>
  <c r="BE5" i="3098"/>
  <c r="AS28" i="41"/>
  <c r="BC8" i="41"/>
  <c r="BB8" i="41"/>
  <c r="AU4" i="3098"/>
  <c r="AV4" i="3098"/>
  <c r="AR28" i="41"/>
  <c r="BE11" i="3098"/>
  <c r="AT18" i="41"/>
  <c r="AT15" i="41"/>
  <c r="AR123" i="3098"/>
  <c r="AR3" i="3098"/>
  <c r="AQ136" i="41"/>
  <c r="AQ3" i="41"/>
  <c r="AR136" i="41"/>
  <c r="AR3" i="41"/>
  <c r="AQ123" i="3098"/>
  <c r="AQ3" i="3098"/>
  <c r="AS65" i="3098"/>
  <c r="AS66" i="41"/>
  <c r="G1" i="37"/>
  <c r="A75" i="37"/>
  <c r="AS21" i="41"/>
  <c r="AS22" i="41"/>
  <c r="I86" i="4"/>
  <c r="I72" i="4"/>
  <c r="AS20" i="3098"/>
  <c r="AS21" i="3098"/>
  <c r="AR32" i="3098"/>
  <c r="AR33" i="41"/>
  <c r="AS2" i="3098"/>
  <c r="AS2" i="41"/>
  <c r="BC6" i="3098"/>
  <c r="BB6" i="3098"/>
  <c r="AS25" i="3098"/>
  <c r="AR25" i="3098"/>
  <c r="AU18" i="41"/>
  <c r="AU15" i="41"/>
  <c r="AR31" i="3098"/>
  <c r="AS31" i="3098"/>
  <c r="BC12" i="3098"/>
  <c r="BE12" i="3098"/>
  <c r="AU14" i="41"/>
  <c r="I38" i="37"/>
  <c r="AW4" i="3098"/>
  <c r="AX4" i="3098"/>
  <c r="AP10" i="3098"/>
  <c r="AQ10" i="3098"/>
  <c r="AO14" i="3098"/>
  <c r="AO17" i="3098"/>
  <c r="AO13" i="3098"/>
  <c r="AO15" i="3098"/>
  <c r="AV18" i="41"/>
  <c r="AV14" i="41"/>
  <c r="AV15" i="41"/>
  <c r="AQ28" i="41"/>
  <c r="AP28" i="41"/>
  <c r="BD8" i="41"/>
  <c r="BE8" i="41"/>
  <c r="AM16" i="3098"/>
  <c r="AN13" i="3098"/>
  <c r="AN15" i="3098"/>
  <c r="AN14" i="3098"/>
  <c r="AN17" i="3098"/>
  <c r="AE29" i="3098"/>
  <c r="AF29" i="3098"/>
  <c r="AS3" i="41"/>
  <c r="AS136" i="41"/>
  <c r="AT2" i="3098"/>
  <c r="J71" i="4"/>
  <c r="AS3" i="3098"/>
  <c r="AS123" i="3098"/>
  <c r="AT21" i="41"/>
  <c r="AT22" i="41"/>
  <c r="AT20" i="3098"/>
  <c r="AT21" i="3098"/>
  <c r="J86" i="4"/>
  <c r="J72" i="4"/>
  <c r="H1" i="37"/>
  <c r="A76" i="37"/>
  <c r="AT2" i="41"/>
  <c r="AS32" i="3098"/>
  <c r="AS33" i="41"/>
  <c r="AW14" i="41"/>
  <c r="AQ25" i="3098"/>
  <c r="AP25" i="3098"/>
  <c r="BD6" i="3098"/>
  <c r="BE6" i="3098"/>
  <c r="BD12" i="3098"/>
  <c r="AQ31" i="3098"/>
  <c r="AP31" i="3098"/>
  <c r="AY4" i="3098"/>
  <c r="AP13" i="3098"/>
  <c r="AP16" i="3098"/>
  <c r="AP14" i="3098"/>
  <c r="AP15" i="3098"/>
  <c r="AP17" i="3098"/>
  <c r="AD29" i="3098"/>
  <c r="AC29" i="3098"/>
  <c r="AR10" i="3098"/>
  <c r="AQ15" i="3098"/>
  <c r="AQ17" i="3098"/>
  <c r="AQ14" i="3098"/>
  <c r="AQ13" i="3098"/>
  <c r="AN16" i="3098"/>
  <c r="AW15" i="41"/>
  <c r="AO16" i="3098"/>
  <c r="AU2" i="41"/>
  <c r="K71" i="4"/>
  <c r="AT66" i="41"/>
  <c r="AT65" i="3098"/>
  <c r="AU2" i="3098"/>
  <c r="AU20" i="3098"/>
  <c r="AU21" i="3098"/>
  <c r="I1" i="37"/>
  <c r="A77" i="37"/>
  <c r="AU21" i="41"/>
  <c r="AU22" i="41"/>
  <c r="L71" i="4"/>
  <c r="AV2" i="3098"/>
  <c r="AT33" i="41"/>
  <c r="AT32" i="3098"/>
  <c r="AS24" i="41"/>
  <c r="AR24" i="41"/>
  <c r="BB4" i="41"/>
  <c r="BD4" i="41"/>
  <c r="AW18" i="41"/>
  <c r="BC10" i="41"/>
  <c r="BE4" i="41"/>
  <c r="AP24" i="41"/>
  <c r="AQ24" i="41"/>
  <c r="AR30" i="41"/>
  <c r="AS27" i="41"/>
  <c r="AS10" i="3098"/>
  <c r="AR14" i="3098"/>
  <c r="AR13" i="3098"/>
  <c r="AR16" i="3098"/>
  <c r="AR17" i="3098"/>
  <c r="AR15" i="3098"/>
  <c r="AQ16" i="3098"/>
  <c r="AS30" i="41"/>
  <c r="BB10" i="41"/>
  <c r="AZ4" i="3098"/>
  <c r="AS29" i="41"/>
  <c r="BC9" i="41"/>
  <c r="AR29" i="41"/>
  <c r="BB9" i="41"/>
  <c r="AV66" i="41"/>
  <c r="AV65" i="3098"/>
  <c r="AT3" i="3098"/>
  <c r="AT123" i="3098"/>
  <c r="AU65" i="3098"/>
  <c r="AU66" i="41"/>
  <c r="AT3" i="41"/>
  <c r="AT136" i="41"/>
  <c r="AU33" i="41"/>
  <c r="AU32" i="3098"/>
  <c r="AV21" i="41"/>
  <c r="AV22" i="41"/>
  <c r="AV20" i="3098"/>
  <c r="AV21" i="3098"/>
  <c r="J1" i="37"/>
  <c r="A78" i="37"/>
  <c r="AV2" i="41"/>
  <c r="BE10" i="41"/>
  <c r="AX18" i="41"/>
  <c r="AX15" i="41"/>
  <c r="AX14" i="41"/>
  <c r="BB7" i="41"/>
  <c r="AQ30" i="41"/>
  <c r="BC7" i="41"/>
  <c r="AR27" i="41"/>
  <c r="AP27" i="41"/>
  <c r="BA4" i="3098"/>
  <c r="AS15" i="3098"/>
  <c r="AS13" i="3098"/>
  <c r="AS14" i="3098"/>
  <c r="AS17" i="3098"/>
  <c r="AP30" i="41"/>
  <c r="AT10" i="3098"/>
  <c r="BD10" i="41"/>
  <c r="AP29" i="41"/>
  <c r="AQ29" i="41"/>
  <c r="BD9" i="41"/>
  <c r="BE9" i="41"/>
  <c r="AW2" i="41"/>
  <c r="M71" i="4"/>
  <c r="AU3" i="41"/>
  <c r="AU136" i="41"/>
  <c r="AV3" i="3098"/>
  <c r="AV123" i="3098"/>
  <c r="AU3" i="3098"/>
  <c r="AU123" i="3098"/>
  <c r="AV3" i="41"/>
  <c r="AV136" i="41"/>
  <c r="AW2" i="3098"/>
  <c r="M86" i="4"/>
  <c r="M72" i="4"/>
  <c r="K1" i="37"/>
  <c r="A79" i="37"/>
  <c r="AV33" i="41"/>
  <c r="AV32" i="3098"/>
  <c r="AS32" i="41"/>
  <c r="BA18" i="41"/>
  <c r="AZ18" i="41"/>
  <c r="AZ15" i="41"/>
  <c r="AZ14" i="41"/>
  <c r="AY14" i="41"/>
  <c r="AY15" i="41"/>
  <c r="AY18" i="41"/>
  <c r="BC12" i="41"/>
  <c r="BD7" i="41"/>
  <c r="BE7" i="41"/>
  <c r="AQ27" i="41"/>
  <c r="AU10" i="3098"/>
  <c r="AS16" i="3098"/>
  <c r="BB4" i="3098"/>
  <c r="BC4" i="3098"/>
  <c r="AR23" i="3098"/>
  <c r="AS23" i="3098"/>
  <c r="AT15" i="3098"/>
  <c r="AT17" i="3098"/>
  <c r="AT13" i="3098"/>
  <c r="AT16" i="3098"/>
  <c r="AT14" i="3098"/>
  <c r="AX2" i="3098"/>
  <c r="N71" i="4"/>
  <c r="AW65" i="3098"/>
  <c r="AW66" i="41"/>
  <c r="AX2" i="41"/>
  <c r="L1" i="37"/>
  <c r="A80" i="37"/>
  <c r="N86" i="4"/>
  <c r="N72" i="4"/>
  <c r="AW32" i="3098"/>
  <c r="AW33" i="41"/>
  <c r="M36" i="37"/>
  <c r="BA14" i="41"/>
  <c r="I40" i="37"/>
  <c r="BB12" i="41"/>
  <c r="BA15" i="41"/>
  <c r="AR32" i="41"/>
  <c r="BD12" i="41"/>
  <c r="BE12" i="41"/>
  <c r="AP32" i="41"/>
  <c r="AQ32" i="41"/>
  <c r="BE4" i="3098"/>
  <c r="BD4" i="3098"/>
  <c r="AU15" i="3098"/>
  <c r="AU13" i="3098"/>
  <c r="AU16" i="3098"/>
  <c r="AU17" i="3098"/>
  <c r="AU14" i="3098"/>
  <c r="AP23" i="3098"/>
  <c r="AQ23" i="3098"/>
  <c r="AV10" i="3098"/>
  <c r="AW3" i="41"/>
  <c r="AW136" i="41"/>
  <c r="AX66" i="41"/>
  <c r="AX65" i="3098"/>
  <c r="AY2" i="3098"/>
  <c r="O71" i="4"/>
  <c r="AW3" i="3098"/>
  <c r="AW123" i="3098"/>
  <c r="AY2" i="41"/>
  <c r="AX32" i="3098"/>
  <c r="AX33" i="41"/>
  <c r="M1" i="37"/>
  <c r="A81" i="37"/>
  <c r="O86" i="4"/>
  <c r="O72" i="4"/>
  <c r="P71" i="4"/>
  <c r="AW10" i="3098"/>
  <c r="AV14" i="3098"/>
  <c r="AV17" i="3098"/>
  <c r="AV13" i="3098"/>
  <c r="AV15" i="3098"/>
  <c r="AZ2" i="41"/>
  <c r="AZ2" i="3098"/>
  <c r="AZ66" i="41"/>
  <c r="AZ65" i="3098"/>
  <c r="AY65" i="3098"/>
  <c r="AY66" i="41"/>
  <c r="AX3" i="3098"/>
  <c r="AX123" i="3098"/>
  <c r="AX3" i="41"/>
  <c r="AX136" i="41"/>
  <c r="AW20" i="3098"/>
  <c r="AW21" i="3098"/>
  <c r="AW21" i="41"/>
  <c r="AW22" i="41"/>
  <c r="N1" i="37"/>
  <c r="A82" i="37"/>
  <c r="P86" i="4"/>
  <c r="P72" i="4"/>
  <c r="Q71" i="4"/>
  <c r="AY32" i="3098"/>
  <c r="AY33" i="41"/>
  <c r="AV16" i="3098"/>
  <c r="AX10" i="3098"/>
  <c r="AW13" i="3098"/>
  <c r="AW17" i="3098"/>
  <c r="AW14" i="3098"/>
  <c r="AW15" i="3098"/>
  <c r="BA65" i="3098"/>
  <c r="BA66" i="41"/>
  <c r="AY3" i="3098"/>
  <c r="AY123" i="3098"/>
  <c r="AZ3" i="41"/>
  <c r="AZ136" i="41"/>
  <c r="AY3" i="41"/>
  <c r="AY136" i="41"/>
  <c r="AZ3" i="3098"/>
  <c r="AZ123" i="3098"/>
  <c r="AX20" i="3098"/>
  <c r="AX21" i="3098"/>
  <c r="Q86" i="4"/>
  <c r="Q72" i="4"/>
  <c r="AX21" i="41"/>
  <c r="AX22" i="41"/>
  <c r="O1" i="37"/>
  <c r="A83" i="37"/>
  <c r="AZ32" i="3098"/>
  <c r="AZ33" i="41"/>
  <c r="BA2" i="41"/>
  <c r="BA2" i="3098"/>
  <c r="AY10" i="3098"/>
  <c r="AX13" i="3098"/>
  <c r="AX14" i="3098"/>
  <c r="AX17" i="3098"/>
  <c r="AX15" i="3098"/>
  <c r="AW16" i="3098"/>
  <c r="BA3" i="41"/>
  <c r="BA136" i="41"/>
  <c r="BA3" i="3098"/>
  <c r="BA123" i="3098"/>
  <c r="BA32" i="3098"/>
  <c r="BA33" i="41"/>
  <c r="O109" i="4"/>
  <c r="BP67" i="41"/>
  <c r="AY17" i="3098"/>
  <c r="AY13" i="3098"/>
  <c r="AY16" i="3098"/>
  <c r="AY15" i="3098"/>
  <c r="AY14" i="3098"/>
  <c r="AZ10" i="3098"/>
  <c r="AX16" i="3098"/>
  <c r="P109" i="4"/>
  <c r="Q109" i="4"/>
  <c r="BG101" i="41"/>
  <c r="BF15" i="41"/>
  <c r="BA10" i="3098"/>
  <c r="AZ17" i="3098"/>
  <c r="AZ15" i="3098"/>
  <c r="AZ14" i="3098"/>
  <c r="AZ13" i="3098"/>
  <c r="BR90" i="41"/>
  <c r="BR92" i="41"/>
  <c r="BD90" i="41"/>
  <c r="BD92" i="41"/>
  <c r="BF14" i="41"/>
  <c r="BF101" i="41"/>
  <c r="BF13" i="41"/>
  <c r="BF16" i="41"/>
  <c r="BF18" i="41"/>
  <c r="BG15" i="41"/>
  <c r="BG18" i="41"/>
  <c r="BG14" i="41"/>
  <c r="BG13" i="41"/>
  <c r="R109" i="4"/>
  <c r="AZ16" i="3098"/>
  <c r="BC10" i="3098"/>
  <c r="BB10" i="3098"/>
  <c r="BA17" i="3098"/>
  <c r="BA13" i="3098"/>
  <c r="BA16" i="3098"/>
  <c r="AR29" i="3098"/>
  <c r="BA15" i="3098"/>
  <c r="BA14" i="3098"/>
  <c r="AS29" i="3098"/>
  <c r="BC90" i="41"/>
  <c r="BC92" i="41"/>
  <c r="BQ90" i="41"/>
  <c r="BI101" i="41"/>
  <c r="BH101" i="41"/>
  <c r="BG16" i="41"/>
  <c r="BH14" i="41"/>
  <c r="BH13" i="41"/>
  <c r="BH16" i="41"/>
  <c r="BH15" i="41"/>
  <c r="BH18" i="41"/>
  <c r="BE10" i="3098"/>
  <c r="BD10" i="3098"/>
  <c r="AQ29" i="3098"/>
  <c r="AP29" i="3098"/>
  <c r="BB90" i="41"/>
  <c r="BB92" i="41"/>
  <c r="D36" i="29"/>
  <c r="BK101" i="41"/>
  <c r="BI14" i="41"/>
  <c r="BI13" i="41"/>
  <c r="BI16" i="41"/>
  <c r="BI15" i="41"/>
  <c r="BI18" i="41"/>
  <c r="BA90" i="41"/>
  <c r="BA92" i="41"/>
  <c r="BJ14" i="41"/>
  <c r="BJ15" i="41"/>
  <c r="BJ101" i="41"/>
  <c r="BJ18" i="41"/>
  <c r="BJ13" i="41"/>
  <c r="BJ16" i="41"/>
  <c r="H37" i="29"/>
  <c r="BK18" i="41"/>
  <c r="BK14" i="41"/>
  <c r="BK15" i="41"/>
  <c r="BK13" i="41"/>
  <c r="AZ90" i="41"/>
  <c r="AZ92" i="41"/>
  <c r="BN101" i="41"/>
  <c r="BL13" i="41"/>
  <c r="BL16" i="41"/>
  <c r="BL14" i="41"/>
  <c r="BL101" i="41"/>
  <c r="BL15" i="41"/>
  <c r="BL18" i="41"/>
  <c r="BK16" i="41"/>
  <c r="AY90" i="41"/>
  <c r="AY92" i="41"/>
  <c r="BM18" i="41"/>
  <c r="BM15" i="41"/>
  <c r="BM101" i="41"/>
  <c r="BM13" i="41"/>
  <c r="BM16" i="41"/>
  <c r="BM14" i="41"/>
  <c r="BO101" i="41"/>
  <c r="BN18" i="41"/>
  <c r="BN15" i="41"/>
  <c r="BN14" i="41"/>
  <c r="BN13" i="41"/>
  <c r="AX90" i="41"/>
  <c r="AX92" i="41"/>
  <c r="BN16" i="41"/>
  <c r="BO13" i="41"/>
  <c r="BO16" i="41"/>
  <c r="BO14" i="41"/>
  <c r="BO15" i="41"/>
  <c r="BO18" i="41"/>
  <c r="AW90" i="41"/>
  <c r="AW92" i="41"/>
  <c r="AV90" i="41"/>
  <c r="AV92" i="41"/>
  <c r="AU90" i="41"/>
  <c r="AU92" i="41"/>
  <c r="BP90" i="41"/>
  <c r="AT90" i="41"/>
  <c r="BE90" i="41"/>
  <c r="AT92" i="41"/>
  <c r="BE92" i="41"/>
  <c r="BO90" i="41"/>
  <c r="BN90" i="41"/>
  <c r="BM90" i="41"/>
  <c r="BL90" i="41"/>
  <c r="BK90" i="41"/>
  <c r="BJ90" i="41"/>
  <c r="BI90" i="41"/>
  <c r="BQ92" i="41"/>
  <c r="BM92" i="41"/>
  <c r="BK92" i="41"/>
  <c r="BJ92" i="41"/>
  <c r="BN92" i="41"/>
  <c r="BO92" i="41"/>
  <c r="BI92" i="41"/>
  <c r="BL92" i="41"/>
  <c r="BP92" i="41"/>
  <c r="BH90" i="41"/>
  <c r="BS90" i="41"/>
  <c r="BH92" i="41"/>
  <c r="BS92" i="41"/>
  <c r="AB200" i="3098"/>
  <c r="BF66" i="41"/>
  <c r="BF3" i="41"/>
  <c r="BF33" i="41"/>
  <c r="F110" i="4"/>
  <c r="F96" i="4"/>
  <c r="BG3" i="41"/>
  <c r="BG33" i="41"/>
  <c r="BG21" i="41"/>
  <c r="BG41" i="41"/>
  <c r="BG100" i="41"/>
  <c r="BF2" i="41"/>
  <c r="BG2" i="41"/>
  <c r="BF21" i="41"/>
  <c r="BF41" i="41"/>
  <c r="BF100" i="41"/>
  <c r="BF22" i="41"/>
  <c r="BG22" i="41"/>
  <c r="AB201" i="3098"/>
  <c r="F95" i="4"/>
  <c r="BG66" i="41"/>
  <c r="G110" i="4"/>
  <c r="G96" i="4"/>
  <c r="BH3" i="41"/>
  <c r="BH33" i="41"/>
  <c r="BH2" i="41"/>
  <c r="BI2" i="41"/>
  <c r="AB203" i="3098"/>
  <c r="H95" i="4"/>
  <c r="BI66" i="41"/>
  <c r="AB202" i="3098"/>
  <c r="G95" i="4"/>
  <c r="BH66" i="41"/>
  <c r="BH21" i="41"/>
  <c r="BH41" i="41"/>
  <c r="BH100" i="41"/>
  <c r="BH22" i="41"/>
  <c r="H110" i="4"/>
  <c r="H96" i="4"/>
  <c r="BI3" i="41"/>
  <c r="BI33" i="41"/>
  <c r="BJ2" i="41"/>
  <c r="I95" i="4"/>
  <c r="BJ66" i="41"/>
  <c r="AB204" i="3098"/>
  <c r="I110" i="4"/>
  <c r="I96" i="4"/>
  <c r="BJ3" i="41"/>
  <c r="BJ33" i="41"/>
  <c r="BK2" i="41"/>
  <c r="BI21" i="41"/>
  <c r="BI22" i="41"/>
  <c r="BI41" i="41"/>
  <c r="BI100" i="41"/>
  <c r="AB205" i="3098"/>
  <c r="J95" i="4"/>
  <c r="BK66" i="41"/>
  <c r="BK3" i="41"/>
  <c r="BK33" i="41"/>
  <c r="BJ21" i="41"/>
  <c r="BJ41" i="41"/>
  <c r="BJ100" i="41"/>
  <c r="BJ22" i="41"/>
  <c r="BL2" i="41"/>
  <c r="AB206" i="3098"/>
  <c r="K95" i="4"/>
  <c r="BL66" i="41"/>
  <c r="BK21" i="41"/>
  <c r="BK22" i="41"/>
  <c r="BK41" i="41"/>
  <c r="BK100" i="41"/>
  <c r="K110" i="4"/>
  <c r="K96" i="4"/>
  <c r="BL3" i="41"/>
  <c r="BL33" i="41"/>
  <c r="BL21" i="41"/>
  <c r="BL41" i="41"/>
  <c r="BL100" i="41"/>
  <c r="BL22" i="41"/>
  <c r="BM2" i="41"/>
  <c r="AB207" i="3098"/>
  <c r="L95" i="4"/>
  <c r="BM66" i="41"/>
  <c r="BM3" i="41"/>
  <c r="BM33" i="41"/>
  <c r="AB208" i="3098"/>
  <c r="M95" i="4"/>
  <c r="BN66" i="41"/>
  <c r="BM21" i="41"/>
  <c r="BM41" i="41"/>
  <c r="BM100" i="41"/>
  <c r="BM22" i="41"/>
  <c r="M110" i="4"/>
  <c r="M96" i="4"/>
  <c r="BN3" i="41"/>
  <c r="BN2" i="41"/>
  <c r="AB209" i="3098"/>
  <c r="N95" i="4"/>
  <c r="BO66" i="41"/>
  <c r="N110" i="4"/>
  <c r="N96" i="4"/>
  <c r="BO3" i="41"/>
  <c r="BO2" i="41"/>
  <c r="BN21" i="41"/>
  <c r="BN22" i="41"/>
  <c r="BN41" i="41"/>
  <c r="BN100" i="41"/>
  <c r="O95" i="4"/>
  <c r="BP66" i="41"/>
  <c r="BO21" i="41"/>
  <c r="BO41" i="41"/>
  <c r="BO100" i="41"/>
  <c r="BO22" i="41"/>
  <c r="P95" i="4"/>
  <c r="BQ66" i="41"/>
  <c r="BP2" i="41"/>
  <c r="O110" i="4"/>
  <c r="O96" i="4"/>
  <c r="BP3" i="41"/>
  <c r="BP21" i="41"/>
  <c r="BP104" i="41"/>
  <c r="BP105" i="41"/>
  <c r="BP106" i="41"/>
  <c r="BP103" i="41"/>
  <c r="BP102" i="41"/>
  <c r="BP41" i="41"/>
  <c r="BP100" i="41"/>
  <c r="BP22" i="41"/>
  <c r="P110" i="4"/>
  <c r="P96" i="4"/>
  <c r="BQ3" i="41"/>
  <c r="BN33" i="41"/>
  <c r="BQ2" i="41"/>
  <c r="BR2" i="41"/>
  <c r="Q95" i="4"/>
  <c r="BR66" i="41"/>
  <c r="BQ21" i="41"/>
  <c r="BQ104" i="41"/>
  <c r="BQ102" i="41"/>
  <c r="BQ103" i="41"/>
  <c r="BQ105" i="41"/>
  <c r="BQ106" i="41"/>
  <c r="BQ22" i="41"/>
  <c r="BQ41" i="41"/>
  <c r="BQ100" i="41"/>
  <c r="Q110" i="4"/>
  <c r="Q96" i="4"/>
  <c r="BR3" i="41"/>
  <c r="BO33" i="41"/>
  <c r="BR21" i="41"/>
  <c r="BR103" i="41"/>
  <c r="BJ27" i="41"/>
  <c r="BR104" i="41"/>
  <c r="BR105" i="41"/>
  <c r="BR22" i="41"/>
  <c r="BR41" i="41"/>
  <c r="BR100" i="41"/>
  <c r="BJ29" i="41"/>
  <c r="BR106" i="41"/>
  <c r="BJ26" i="41"/>
  <c r="BR102" i="41"/>
  <c r="BI27" i="41"/>
  <c r="BH27" i="41"/>
  <c r="BJ25" i="41"/>
  <c r="BI25" i="41"/>
  <c r="BG25" i="41"/>
  <c r="BJ32" i="41"/>
  <c r="BJ30" i="41"/>
  <c r="BJ31" i="41"/>
  <c r="BJ28" i="41"/>
  <c r="BI29" i="41"/>
  <c r="BG29" i="41"/>
  <c r="BI26" i="41"/>
  <c r="BG26" i="41"/>
  <c r="BI32" i="41"/>
  <c r="BG32" i="41"/>
  <c r="BH29" i="41"/>
  <c r="BH25" i="41"/>
  <c r="BG27" i="41"/>
  <c r="BH26" i="41"/>
  <c r="BH32" i="41"/>
  <c r="BI28" i="41"/>
  <c r="BG28" i="41"/>
  <c r="BH28" i="41"/>
  <c r="BI31" i="41"/>
  <c r="BG31" i="41"/>
  <c r="BH31" i="41"/>
  <c r="BI30" i="41"/>
  <c r="BG30" i="41"/>
  <c r="BH30" i="41"/>
  <c r="BQ101" i="41"/>
  <c r="BP101" i="41"/>
  <c r="BR101" i="41"/>
  <c r="H39" i="29"/>
  <c r="BQ15" i="41"/>
  <c r="BQ13" i="41"/>
  <c r="BR18" i="41"/>
  <c r="BR14" i="41"/>
  <c r="BR15" i="41"/>
  <c r="BR13" i="41"/>
  <c r="BQ14" i="41"/>
  <c r="BQ18" i="41"/>
  <c r="M36" i="29"/>
  <c r="BP18" i="41"/>
  <c r="BJ24" i="41"/>
  <c r="BP13" i="41"/>
  <c r="BP16" i="41"/>
  <c r="BP15" i="41"/>
  <c r="BP14" i="41"/>
  <c r="BR16" i="41"/>
  <c r="BI24" i="41"/>
  <c r="BG24" i="41"/>
  <c r="BQ16" i="41"/>
  <c r="BH24" i="41"/>
  <c r="D35" i="4"/>
  <c r="D58" i="4"/>
  <c r="D81" i="4"/>
  <c r="D105" i="4"/>
  <c r="BF32" i="41"/>
  <c r="AO32" i="41"/>
  <c r="AB32" i="41"/>
  <c r="BE75" i="41"/>
  <c r="BE106" i="41"/>
  <c r="A75" i="41"/>
  <c r="A88" i="41"/>
  <c r="AS89" i="41"/>
  <c r="BG89" i="41"/>
  <c r="A145" i="41"/>
  <c r="D34" i="4"/>
  <c r="D57" i="4"/>
  <c r="D80" i="4"/>
  <c r="D104" i="4"/>
  <c r="BF31" i="41"/>
  <c r="AO31" i="41"/>
  <c r="AB31" i="41"/>
  <c r="BE74" i="41"/>
  <c r="BE105" i="41"/>
  <c r="A74" i="41"/>
  <c r="A87" i="41"/>
  <c r="AS88" i="41"/>
  <c r="BG88" i="41"/>
  <c r="A144" i="41"/>
</calcChain>
</file>

<file path=xl/sharedStrings.xml><?xml version="1.0" encoding="utf-8"?>
<sst xmlns="http://schemas.openxmlformats.org/spreadsheetml/2006/main" count="701" uniqueCount="260">
  <si>
    <t>Gauß 130</t>
  </si>
  <si>
    <t>Zeiträume</t>
  </si>
  <si>
    <t>(Näherung)</t>
  </si>
  <si>
    <t>Intervall =</t>
  </si>
  <si>
    <t>min</t>
  </si>
  <si>
    <t>Anmerkung:</t>
  </si>
  <si>
    <t>Bei Messungen über +5s kann von echten Außreisern ausgegangen werden.</t>
  </si>
  <si>
    <t>Da wohl eine logarithmische Verteilung vor liegt, sind auch Werte unter -3s grundsätzlich auszuschließen.</t>
  </si>
  <si>
    <t>Datum</t>
  </si>
  <si>
    <t>Tagesminimum</t>
  </si>
  <si>
    <t>Div.</t>
  </si>
  <si>
    <t>Summe</t>
  </si>
  <si>
    <t>Summe vor</t>
  </si>
  <si>
    <t>Summe PP</t>
  </si>
  <si>
    <t>vor E.</t>
  </si>
  <si>
    <t>nach E.</t>
  </si>
  <si>
    <t>Mittelw. korr.</t>
  </si>
  <si>
    <r>
      <t>HbA</t>
    </r>
    <r>
      <rPr>
        <b/>
        <vertAlign val="subscript"/>
        <sz val="9"/>
        <color indexed="10"/>
        <rFont val="Geneva"/>
      </rPr>
      <t>1c</t>
    </r>
  </si>
  <si>
    <t>max</t>
  </si>
  <si>
    <t>%</t>
  </si>
  <si>
    <t>(=Näherung)</t>
  </si>
  <si>
    <t>Nacht</t>
  </si>
  <si>
    <t>Stabw.</t>
  </si>
  <si>
    <t>Tagesmaximum</t>
  </si>
  <si>
    <t>Tagesmittelwert</t>
  </si>
  <si>
    <r>
      <t>HbA</t>
    </r>
    <r>
      <rPr>
        <b/>
        <vertAlign val="subscript"/>
        <sz val="18"/>
        <color indexed="10"/>
        <rFont val="Geneva"/>
      </rPr>
      <t>1c</t>
    </r>
    <r>
      <rPr>
        <b/>
        <sz val="10"/>
        <color indexed="10"/>
        <rFont val="Geneva"/>
      </rPr>
      <t xml:space="preserve"> </t>
    </r>
    <r>
      <rPr>
        <b/>
        <sz val="14"/>
        <color indexed="10"/>
        <rFont val="Geneva"/>
      </rPr>
      <t>Wert der</t>
    </r>
  </si>
  <si>
    <t>II. Quartal</t>
  </si>
  <si>
    <t>Intervall ~</t>
  </si>
  <si>
    <t>Kalenderwoche</t>
  </si>
  <si>
    <t>I. Quartal</t>
  </si>
  <si>
    <t>Stabw</t>
  </si>
  <si>
    <r>
      <t>vermutete</t>
    </r>
    <r>
      <rPr>
        <sz val="8"/>
        <rFont val="Geneva"/>
      </rPr>
      <t xml:space="preserve"> Ausreißer</t>
    </r>
  </si>
  <si>
    <t>=eliminiert</t>
  </si>
  <si>
    <r>
      <t>%</t>
    </r>
    <r>
      <rPr>
        <sz val="9"/>
        <color indexed="10"/>
        <rFont val="Geneva"/>
      </rPr>
      <t xml:space="preserve"> über den ges. Zeitraum</t>
    </r>
  </si>
  <si>
    <t>stabw</t>
  </si>
  <si>
    <t>bis</t>
  </si>
  <si>
    <t>Gauß 110</t>
  </si>
  <si>
    <t>Daten für Zwischendurch-Verteilung</t>
  </si>
  <si>
    <t>∑=</t>
  </si>
  <si>
    <t>Daten für die Langzeit-Tortengrafik</t>
  </si>
  <si>
    <t>n=</t>
  </si>
  <si>
    <t>Notzen</t>
  </si>
  <si>
    <t>BE</t>
  </si>
  <si>
    <t>Korrektur =</t>
  </si>
  <si>
    <t>4 Quartale</t>
  </si>
  <si>
    <t>KW</t>
  </si>
  <si>
    <t>Daten für Verteilungskurven</t>
  </si>
  <si>
    <t>Näherung</t>
  </si>
  <si>
    <t>Ziel:</t>
  </si>
  <si>
    <t>Überlagerung nur für Histogramm bei Langzeit-Verlauf</t>
  </si>
  <si>
    <t>Glucose [mg/dl]</t>
  </si>
  <si>
    <t>MW</t>
  </si>
  <si>
    <t>III. Quartal</t>
  </si>
  <si>
    <t>T-MW</t>
  </si>
  <si>
    <t>automatische</t>
  </si>
  <si>
    <t>Korrektur für Wochentag</t>
  </si>
  <si>
    <t>W-Tag</t>
  </si>
  <si>
    <t>IV. Quartal</t>
  </si>
  <si>
    <t>GL-MW</t>
  </si>
  <si>
    <t>Laborwert</t>
  </si>
  <si>
    <t>MW alt</t>
  </si>
  <si>
    <t>Gauß 135</t>
  </si>
  <si>
    <t>Gauß 127</t>
  </si>
  <si>
    <t>Gauß 97</t>
  </si>
  <si>
    <t>Histogramm-Daten</t>
  </si>
  <si>
    <t>Gauß (n=512)</t>
  </si>
  <si>
    <t>Durchschn. Stabw</t>
  </si>
  <si>
    <t>Mittelwert</t>
  </si>
  <si>
    <t>+1s</t>
  </si>
  <si>
    <t>+2s</t>
  </si>
  <si>
    <t>+3s</t>
  </si>
  <si>
    <t>+4s</t>
  </si>
  <si>
    <t>+5s</t>
  </si>
  <si>
    <t>-1s</t>
  </si>
  <si>
    <t>-2s</t>
  </si>
  <si>
    <t>-3s</t>
  </si>
  <si>
    <t>-4s</t>
  </si>
  <si>
    <t>-5s</t>
  </si>
  <si>
    <t>Zählen</t>
  </si>
  <si>
    <t>Klassengrenze</t>
  </si>
  <si>
    <t>[mg/dl]</t>
  </si>
  <si>
    <t xml:space="preserve"> Verteilung</t>
  </si>
  <si>
    <t>Überlagerung</t>
  </si>
  <si>
    <t>Statistik</t>
  </si>
  <si>
    <t>Notizen</t>
  </si>
  <si>
    <t>1.Tag=</t>
  </si>
  <si>
    <t>Früh</t>
  </si>
  <si>
    <t>Faktor</t>
  </si>
  <si>
    <t>Sport</t>
  </si>
  <si>
    <t>Krankheit</t>
  </si>
  <si>
    <t>Besonderheiten</t>
  </si>
  <si>
    <t>Sonstiges</t>
  </si>
  <si>
    <t>I.E. / Basal</t>
  </si>
  <si>
    <t>Tagebuch</t>
  </si>
  <si>
    <t>Trend</t>
  </si>
  <si>
    <t>IE</t>
  </si>
  <si>
    <t>F früh</t>
  </si>
  <si>
    <t>F mittag</t>
  </si>
  <si>
    <t>F abend</t>
  </si>
  <si>
    <t>pp früh</t>
  </si>
  <si>
    <t>pp mittag</t>
  </si>
  <si>
    <t>pp abend</t>
  </si>
  <si>
    <t>min.</t>
  </si>
  <si>
    <t>max.</t>
  </si>
  <si>
    <t>pp Wunschziele</t>
  </si>
  <si>
    <t>mg/dl</t>
  </si>
  <si>
    <t>Mittag</t>
  </si>
  <si>
    <t>Abend</t>
  </si>
  <si>
    <t>F+</t>
  </si>
  <si>
    <t>F-</t>
  </si>
  <si>
    <t>ok</t>
  </si>
  <si>
    <t>?</t>
  </si>
  <si>
    <t>Fazit</t>
  </si>
  <si>
    <t>Summe nüchtern</t>
  </si>
  <si>
    <t>Daten für Basal-Verteilung</t>
  </si>
  <si>
    <t>nüchtern</t>
  </si>
  <si>
    <t>pp-Nr01</t>
  </si>
  <si>
    <t>pp-Nr02</t>
  </si>
  <si>
    <t>pp-Nr03</t>
  </si>
  <si>
    <t>pp-Nr04</t>
  </si>
  <si>
    <t>Ziel</t>
  </si>
  <si>
    <t>vorher</t>
  </si>
  <si>
    <t>essen</t>
  </si>
  <si>
    <t>1h</t>
  </si>
  <si>
    <t>2h</t>
  </si>
  <si>
    <t>3h</t>
  </si>
  <si>
    <t>4h</t>
  </si>
  <si>
    <t>Abweichung</t>
  </si>
  <si>
    <t>pp-Nr05</t>
  </si>
  <si>
    <t xml:space="preserve"> - - - - - </t>
  </si>
  <si>
    <t>Xquer</t>
  </si>
  <si>
    <t>innerhalb</t>
  </si>
  <si>
    <t>außerhalb</t>
  </si>
  <si>
    <t>einige Konfidenzintervalle</t>
  </si>
  <si>
    <t>alles auf 3 Stellen gerundet</t>
  </si>
  <si>
    <t>(hier) σ</t>
  </si>
  <si>
    <t>σ=</t>
  </si>
  <si>
    <t>Wird nicht mehr benötigt</t>
  </si>
  <si>
    <t>Mw-N</t>
  </si>
  <si>
    <t>f</t>
  </si>
  <si>
    <t>m</t>
  </si>
  <si>
    <t>a</t>
  </si>
  <si>
    <t>N</t>
  </si>
  <si>
    <t>F</t>
  </si>
  <si>
    <t>S</t>
  </si>
  <si>
    <t>grüner Bereich</t>
  </si>
  <si>
    <t>von</t>
  </si>
  <si>
    <t>∞</t>
  </si>
  <si>
    <t>Hypo</t>
  </si>
  <si>
    <t>PP-Ziel (erweitert)</t>
  </si>
  <si>
    <t>zu hoch</t>
  </si>
  <si>
    <t>extrem zu hoch</t>
  </si>
  <si>
    <t>&lt;--</t>
  </si>
  <si>
    <t>unterlegte</t>
  </si>
  <si>
    <t>Farben</t>
  </si>
  <si>
    <t>beliebig</t>
  </si>
  <si>
    <t>bevorzugt</t>
  </si>
  <si>
    <t>05 - 04 - 03</t>
  </si>
  <si>
    <t>u.U. Zeitraum ändern -&gt;</t>
  </si>
  <si>
    <t>HbA1c-täglich</t>
  </si>
  <si>
    <t>* vorher = SEA 20-30 Minuten</t>
  </si>
  <si>
    <t>* seit 25.4. 10 IE Basal! (nur früh)</t>
  </si>
  <si>
    <t>30.04. früh</t>
  </si>
  <si>
    <t>03.05. früh</t>
  </si>
  <si>
    <t>11.05. früh</t>
  </si>
  <si>
    <t>17.05. früh</t>
  </si>
  <si>
    <t>= Sch… gelaufen</t>
  </si>
  <si>
    <t>15 - 10 - 09/ 10+15</t>
  </si>
  <si>
    <t>06 - 04 - 03</t>
  </si>
  <si>
    <r>
      <t>HbA</t>
    </r>
    <r>
      <rPr>
        <vertAlign val="subscript"/>
        <sz val="9"/>
        <rFont val="Geneva"/>
      </rPr>
      <t>1c [%]</t>
    </r>
  </si>
  <si>
    <t>HbA1c [%]</t>
  </si>
  <si>
    <t>Empfehlung der Kennzeichnung besonderer Ergebnisse</t>
  </si>
  <si>
    <t>Zwischendurch</t>
  </si>
  <si>
    <t>&gt;14,0</t>
  </si>
  <si>
    <t>11,0-12,5</t>
  </si>
  <si>
    <t>9,5-11,0</t>
  </si>
  <si>
    <t>8,0-9,5</t>
  </si>
  <si>
    <t>6,5-8,0</t>
  </si>
  <si>
    <t>5,0-6,5</t>
  </si>
  <si>
    <t>3,5-5,0</t>
  </si>
  <si>
    <t>2,0-3,5</t>
  </si>
  <si>
    <t>12,5-14,0</t>
  </si>
  <si>
    <t>&lt; 2,0</t>
  </si>
  <si>
    <t>≤12,5</t>
  </si>
  <si>
    <t>≤11,0</t>
  </si>
  <si>
    <t>≤14,0</t>
  </si>
  <si>
    <t>≤9,5</t>
  </si>
  <si>
    <t>≤8,0</t>
  </si>
  <si>
    <t>≤6,5</t>
  </si>
  <si>
    <t>≤5,0</t>
  </si>
  <si>
    <t>≤3,5</t>
  </si>
  <si>
    <t>≤2,0</t>
  </si>
  <si>
    <t>≤0,5</t>
  </si>
  <si>
    <t>σ &lt; 2,5</t>
  </si>
  <si>
    <t>Gauß 8,0</t>
  </si>
  <si>
    <t>Gauß 9,5</t>
  </si>
  <si>
    <t>mmol/L</t>
  </si>
  <si>
    <t>20.08. früh</t>
  </si>
  <si>
    <t>zu</t>
  </si>
  <si>
    <t>alle weißen Zellen können direkt von jedem Anwender verändert werden.</t>
  </si>
  <si>
    <t>IN (mmol/L)</t>
  </si>
  <si>
    <t>…</t>
  </si>
  <si>
    <t>B4:B12</t>
  </si>
  <si>
    <t>Alte Mittelwerte werden gebraucht, so lange zu wenige Daten zur Mittelwertbildung vorhanden sind.</t>
  </si>
  <si>
    <t>D4:D12</t>
  </si>
  <si>
    <t>Hier können beliebige Einträge für die Ereignisse stehen zu denen gemessen werden. Sie gelten dann für die ganze Kalkulation!</t>
  </si>
  <si>
    <t>E4:Q12</t>
  </si>
  <si>
    <t>(und in den Qurtalsgruppen drunter) Hier kommen die Messwerte in mmol/L rein ODER LEER LASSEN!</t>
  </si>
  <si>
    <t>Sowohl die Schriftfarbe als auch eine Füllfarbe kann beliebig verändert werden (nur zur Orientierung)</t>
  </si>
  <si>
    <t>R18</t>
  </si>
  <si>
    <t>Das Quartal kann beliebig geändert oder auch völlig umbenannt werden.</t>
  </si>
  <si>
    <t>"Normal" wird hier mit einer Messreihe pro Woche gerechnet. Es geht aber auch etwas anders.</t>
  </si>
  <si>
    <t>E13:Q13</t>
  </si>
  <si>
    <t>V20</t>
  </si>
  <si>
    <t>V19</t>
  </si>
  <si>
    <t>Die errechneten Tage können auch verändert werden, wenn man das mit Ecxel kann.</t>
  </si>
  <si>
    <t>D18:Q19</t>
  </si>
  <si>
    <t>Notizen der IE und BE können zwar frei gestaltet werden, für Rechnungen mit dem Faktor (=IE/BE) sollte das Schema eingehalten bleiben.</t>
  </si>
  <si>
    <t>D20:D23</t>
  </si>
  <si>
    <t>Teilüberschriften für Notizen können verändert werden und werden so in allen Quartalen übernommen</t>
  </si>
  <si>
    <t>E20:Q23</t>
  </si>
  <si>
    <t>Notizzellen können beliebig beschrieben werden und haben keine recherischen Auswirkungen.</t>
  </si>
  <si>
    <t>V3</t>
  </si>
  <si>
    <t>Hier wird das Anfangsdatum und der Messintervall im Quartal festgelegt und auf 13 Messtage verteilt.</t>
  </si>
  <si>
    <t>Dies kann sinnvoll sein, wenn man das laufende Jahr in einem anderen Quartal beginnen lassen will.</t>
  </si>
  <si>
    <t>Will man z.B. zwei mal die Woche messen, gibt man bei Intervall "=7/2" ein. Es wird dann so gerundet, dass es auf geht.</t>
  </si>
  <si>
    <r>
      <t xml:space="preserve">(und in den Quartalsgruppen drunter) Hier wird der </t>
    </r>
    <r>
      <rPr>
        <sz val="9"/>
        <color rgb="FFFF0000"/>
        <rFont val="Geneva"/>
      </rPr>
      <t>Konfidenzintervalle</t>
    </r>
    <r>
      <rPr>
        <sz val="9"/>
        <rFont val="Geneva"/>
      </rPr>
      <t xml:space="preserve"> festgelegt, der für Statistiken gelten soll.</t>
    </r>
  </si>
  <si>
    <t>Eine kleine Liste hierzu steht unten in "IN (mmol/L)"</t>
  </si>
  <si>
    <t>V22</t>
  </si>
  <si>
    <t>(und in den Quartalsgruppen drunter) Hier kann der HbA1c-Wert eines Labors notiert werden.</t>
  </si>
  <si>
    <r>
      <t>Alle Berechnungen, die früher damit gemacht wurden sollten inaktiv sein.</t>
    </r>
    <r>
      <rPr>
        <sz val="9"/>
        <color rgb="FFFF0000"/>
        <rFont val="Geneva"/>
      </rPr>
      <t xml:space="preserve"> (V18 und V23 nicht verändern!)</t>
    </r>
  </si>
  <si>
    <t>…ist Mord</t>
  </si>
  <si>
    <t>Geldarmut</t>
  </si>
  <si>
    <t>mag nicht mehr</t>
  </si>
  <si>
    <t>immer frisch bleiben</t>
  </si>
  <si>
    <t>Kopfweh</t>
  </si>
  <si>
    <t>Besser macht man mehrere Messungen "Zwischendurch" (ganz unten)</t>
  </si>
  <si>
    <t>I.17</t>
  </si>
  <si>
    <t>II.17</t>
  </si>
  <si>
    <t>III.17</t>
  </si>
  <si>
    <t>IV.17</t>
  </si>
  <si>
    <t>Hier sollte möglichst nichts verändert werden … mal abgesehen von den Diagrammen, die man gern umgestalten kann.</t>
  </si>
  <si>
    <t>Die Blattbezeichnungen selbst lassen sich frei (nach Excel-Regeln) umbenennen.</t>
  </si>
  <si>
    <t>hjt-pp</t>
  </si>
  <si>
    <t>Hier können pp-Verläufe dargestellt werden, wenn man entsprechende Messreihen dokumentiert.</t>
  </si>
  <si>
    <t>Langzeitverlauf</t>
  </si>
  <si>
    <t>Hier wird ein Überblick des Aufzeichnungsjahrs dargestellt.  Die Prognosen für zukünftige Messtage haben kaum eine Zuverlässigkeit.</t>
  </si>
  <si>
    <t>Verteilung</t>
  </si>
  <si>
    <t>Hier geben Histogramme einen groben Überblick, wie groß das Vertrauen in die statistischen Aussagen sein kann. (Ohne Kenntnisse … keine Chance!)</t>
  </si>
  <si>
    <t>Leerseite</t>
  </si>
  <si>
    <t>Eine Leerseite eben …. Ich koppiere dort manchmal Diagramme hinein, um sie getrennt drücken zu können oder in PDF zu wandeln.</t>
  </si>
  <si>
    <t>(intern)</t>
  </si>
  <si>
    <t>(intern2)</t>
  </si>
  <si>
    <r>
      <t>Dies sind die Rechenzentralen dieser Kalkulation.</t>
    </r>
    <r>
      <rPr>
        <sz val="9"/>
        <color rgb="FFFF0000"/>
        <rFont val="Geneva"/>
      </rPr>
      <t xml:space="preserve"> Hier sollte man schon genau wissen, was man tut, wenn man hier was ändert.</t>
    </r>
  </si>
  <si>
    <t>Tipps</t>
  </si>
  <si>
    <t>Relikt</t>
  </si>
  <si>
    <t>Diese Zellen sind Relikte aus älteren Versionen, die ich nicht einfach entfernen darf ohne Verweise dort hin zu ändern. Am besten garnix ändern!</t>
  </si>
  <si>
    <t>Ich glaube, jetzt habe ich diese meine Kalkulation von "mg/dl" auf "mmol/L" umgestellt und auch die Korrektur der BZ-Werte über den Labor-HbA1c-Wert entfernt.</t>
  </si>
  <si>
    <t>Sollte es dennoch zu Problemen kommen … Kontakt zu Gyuri aufnehmen!  ;-)</t>
  </si>
  <si>
    <r>
      <t>Diese Seite wird zur Kalkulation nicht benötigt und kann verschoben oder gelöscht werden.</t>
    </r>
    <r>
      <rPr>
        <b/>
        <sz val="8"/>
        <color rgb="FFFF0000"/>
        <rFont val="Geneva"/>
      </rPr>
      <t xml:space="preserve"> Es sollte hier nirgendwo einen Passwortschutz geben. (selber machen)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</si>
</sst>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"/>
    <numFmt numFmtId="165" formatCode="0.000"/>
    <numFmt numFmtId="166" formatCode="dd\.mm\.yy"/>
    <numFmt numFmtId="167" formatCode="dd/mm/yy"/>
    <numFmt numFmtId="168" formatCode="dd/mm/"/>
    <numFmt numFmtId="169" formatCode="dd\.mm\.yyyy\ h:mm"/>
    <numFmt numFmtId="170" formatCode="dd/mm/yy;@"/>
    <numFmt numFmtId="171" formatCode="0.0%"/>
    <numFmt numFmtId="172" formatCode="0.000%"/>
    <numFmt numFmtId="173" formatCode="yyyy\-mm\-dd"/>
    <numFmt numFmtId="174" formatCode="yyyy/mm/dd"/>
  </numFmts>
  <fonts count="169" x14ac:knownFonts="1">
    <font>
      <sz val="9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Geneva"/>
    </font>
    <font>
      <sz val="9"/>
      <name val="Geneva"/>
    </font>
    <font>
      <sz val="9"/>
      <color indexed="9"/>
      <name val="Geneva"/>
    </font>
    <font>
      <sz val="9"/>
      <color indexed="10"/>
      <name val="Geneva"/>
    </font>
    <font>
      <sz val="9"/>
      <color indexed="53"/>
      <name val="Geneva"/>
    </font>
    <font>
      <sz val="9"/>
      <color indexed="51"/>
      <name val="Geneva"/>
    </font>
    <font>
      <sz val="9"/>
      <color indexed="50"/>
      <name val="Geneva"/>
    </font>
    <font>
      <sz val="9"/>
      <color indexed="57"/>
      <name val="Geneva"/>
    </font>
    <font>
      <sz val="9"/>
      <color indexed="21"/>
      <name val="Geneva"/>
    </font>
    <font>
      <sz val="9"/>
      <color indexed="48"/>
      <name val="Geneva"/>
    </font>
    <font>
      <sz val="9"/>
      <color indexed="18"/>
      <name val="Geneva"/>
    </font>
    <font>
      <sz val="9"/>
      <color indexed="20"/>
      <name val="Geneva"/>
    </font>
    <font>
      <sz val="9"/>
      <color indexed="61"/>
      <name val="Geneva"/>
    </font>
    <font>
      <b/>
      <sz val="9"/>
      <color indexed="8"/>
      <name val="Geneva"/>
    </font>
    <font>
      <sz val="9"/>
      <color indexed="60"/>
      <name val="Geneva"/>
    </font>
    <font>
      <b/>
      <sz val="11"/>
      <name val="Geneva"/>
    </font>
    <font>
      <b/>
      <sz val="9"/>
      <color indexed="10"/>
      <name val="Geneva"/>
    </font>
    <font>
      <b/>
      <sz val="8"/>
      <color indexed="8"/>
      <name val="Geneva"/>
    </font>
    <font>
      <b/>
      <sz val="18"/>
      <color indexed="17"/>
      <name val="Geneva"/>
    </font>
    <font>
      <b/>
      <sz val="18"/>
      <color indexed="60"/>
      <name val="Geneva"/>
    </font>
    <font>
      <b/>
      <sz val="18"/>
      <color indexed="16"/>
      <name val="Geneva"/>
    </font>
    <font>
      <b/>
      <sz val="14"/>
      <name val="Geneva"/>
    </font>
    <font>
      <b/>
      <sz val="9"/>
      <color indexed="18"/>
      <name val="Geneva"/>
    </font>
    <font>
      <b/>
      <sz val="9"/>
      <color indexed="60"/>
      <name val="Geneva"/>
    </font>
    <font>
      <b/>
      <sz val="9"/>
      <color indexed="16"/>
      <name val="Geneva"/>
    </font>
    <font>
      <b/>
      <sz val="9"/>
      <color indexed="43"/>
      <name val="Geneva"/>
    </font>
    <font>
      <sz val="9"/>
      <color indexed="43"/>
      <name val="Geneva"/>
    </font>
    <font>
      <b/>
      <sz val="9"/>
      <color indexed="47"/>
      <name val="Geneva"/>
    </font>
    <font>
      <b/>
      <sz val="9"/>
      <color indexed="45"/>
      <name val="Geneva"/>
    </font>
    <font>
      <b/>
      <sz val="9"/>
      <color indexed="41"/>
      <name val="Geneva"/>
    </font>
    <font>
      <sz val="9"/>
      <color indexed="41"/>
      <name val="Geneva"/>
    </font>
    <font>
      <b/>
      <sz val="11"/>
      <color indexed="8"/>
      <name val="Geneva"/>
    </font>
    <font>
      <b/>
      <sz val="14"/>
      <color indexed="10"/>
      <name val="Geneva"/>
    </font>
    <font>
      <b/>
      <sz val="10"/>
      <color indexed="10"/>
      <name val="Geneva"/>
    </font>
    <font>
      <b/>
      <vertAlign val="subscript"/>
      <sz val="18"/>
      <color indexed="10"/>
      <name val="Geneva"/>
    </font>
    <font>
      <sz val="24"/>
      <name val="Geneva"/>
    </font>
    <font>
      <b/>
      <sz val="9"/>
      <color indexed="9"/>
      <name val="Geneva"/>
    </font>
    <font>
      <b/>
      <sz val="9"/>
      <color indexed="13"/>
      <name val="Geneva"/>
    </font>
    <font>
      <sz val="9"/>
      <color indexed="8"/>
      <name val="Geneva"/>
    </font>
    <font>
      <b/>
      <sz val="9"/>
      <color indexed="14"/>
      <name val="Geneva"/>
    </font>
    <font>
      <vertAlign val="subscript"/>
      <sz val="9"/>
      <name val="Geneva"/>
    </font>
    <font>
      <b/>
      <vertAlign val="subscript"/>
      <sz val="9"/>
      <color indexed="10"/>
      <name val="Geneva"/>
    </font>
    <font>
      <sz val="10"/>
      <name val="Geneva"/>
    </font>
    <font>
      <sz val="8"/>
      <name val="Geneva"/>
    </font>
    <font>
      <b/>
      <sz val="5"/>
      <color indexed="9"/>
      <name val="Geneva"/>
    </font>
    <font>
      <b/>
      <sz val="8"/>
      <color indexed="9"/>
      <name val="Geneva"/>
    </font>
    <font>
      <b/>
      <sz val="12"/>
      <name val="Geneva"/>
    </font>
    <font>
      <sz val="9"/>
      <color indexed="16"/>
      <name val="Geneva"/>
    </font>
    <font>
      <b/>
      <sz val="9"/>
      <color indexed="22"/>
      <name val="Geneva"/>
    </font>
    <font>
      <sz val="8"/>
      <color indexed="8"/>
      <name val="Geneva"/>
    </font>
    <font>
      <b/>
      <sz val="8"/>
      <name val="Geneva"/>
    </font>
    <font>
      <sz val="9"/>
      <color indexed="63"/>
      <name val="Geneva"/>
    </font>
    <font>
      <sz val="7"/>
      <name val="Geneva"/>
    </font>
    <font>
      <b/>
      <sz val="18"/>
      <name val="Geneva"/>
    </font>
    <font>
      <b/>
      <sz val="8"/>
      <color indexed="10"/>
      <name val="Geneva"/>
    </font>
    <font>
      <b/>
      <sz val="10"/>
      <name val="Geneva"/>
    </font>
    <font>
      <sz val="7"/>
      <color indexed="8"/>
      <name val="Geneva"/>
    </font>
    <font>
      <b/>
      <sz val="7"/>
      <color indexed="8"/>
      <name val="Geneva"/>
    </font>
    <font>
      <b/>
      <sz val="9"/>
      <color indexed="11"/>
      <name val="Geneva"/>
    </font>
    <font>
      <sz val="8"/>
      <color indexed="60"/>
      <name val="Geneva"/>
    </font>
    <font>
      <sz val="12"/>
      <name val="Geneva"/>
    </font>
    <font>
      <sz val="8"/>
      <color indexed="63"/>
      <name val="Geneva"/>
    </font>
    <font>
      <b/>
      <sz val="8"/>
      <color indexed="63"/>
      <name val="Geneva"/>
    </font>
    <font>
      <b/>
      <sz val="8"/>
      <color indexed="14"/>
      <name val="Geneva"/>
    </font>
    <font>
      <sz val="8"/>
      <color indexed="10"/>
      <name val="Geneva"/>
    </font>
    <font>
      <b/>
      <sz val="8"/>
      <color indexed="17"/>
      <name val="Geneva"/>
    </font>
    <font>
      <sz val="7"/>
      <color indexed="55"/>
      <name val="Geneva"/>
    </font>
    <font>
      <b/>
      <sz val="10"/>
      <color indexed="8"/>
      <name val="Geneva"/>
    </font>
    <font>
      <b/>
      <sz val="8"/>
      <color indexed="11"/>
      <name val="Geneva"/>
    </font>
    <font>
      <sz val="8"/>
      <color indexed="22"/>
      <name val="Geneva"/>
    </font>
    <font>
      <b/>
      <sz val="18"/>
      <color indexed="20"/>
      <name val="Geneva"/>
    </font>
    <font>
      <sz val="14"/>
      <name val="Geneva"/>
    </font>
    <font>
      <b/>
      <sz val="12"/>
      <color indexed="14"/>
      <name val="Geneva"/>
    </font>
    <font>
      <b/>
      <sz val="7"/>
      <name val="Geneva"/>
    </font>
    <font>
      <b/>
      <sz val="9"/>
      <color rgb="FFFF0000"/>
      <name val="Geneva"/>
    </font>
    <font>
      <b/>
      <sz val="8"/>
      <color rgb="FFFF0000"/>
      <name val="Geneva"/>
    </font>
    <font>
      <b/>
      <sz val="9"/>
      <color theme="1"/>
      <name val="Geneva"/>
    </font>
    <font>
      <sz val="7"/>
      <color rgb="FFFF0000"/>
      <name val="Geneva"/>
    </font>
    <font>
      <b/>
      <sz val="8"/>
      <color rgb="FF00B050"/>
      <name val="Geneva"/>
    </font>
    <font>
      <sz val="9"/>
      <color rgb="FFFF0000"/>
      <name val="Geneva"/>
    </font>
    <font>
      <b/>
      <sz val="10"/>
      <color rgb="FFFF0000"/>
      <name val="Geneva"/>
    </font>
    <font>
      <b/>
      <sz val="7"/>
      <color rgb="FFFF0000"/>
      <name val="Geneva"/>
    </font>
    <font>
      <b/>
      <sz val="9"/>
      <color rgb="FF339966"/>
      <name val="Geneva"/>
    </font>
    <font>
      <sz val="9"/>
      <color rgb="FF993300"/>
      <name val="Geneva"/>
    </font>
    <font>
      <b/>
      <sz val="9"/>
      <color rgb="FF993300"/>
      <name val="Geneva"/>
    </font>
    <font>
      <b/>
      <sz val="20"/>
      <color rgb="FFFF0000"/>
      <name val="Geneva"/>
    </font>
    <font>
      <b/>
      <sz val="9"/>
      <color rgb="FF7030A0"/>
      <name val="Geneva"/>
    </font>
    <font>
      <sz val="12"/>
      <color rgb="FF7030A0"/>
      <name val="Geneva"/>
    </font>
    <font>
      <sz val="9"/>
      <color theme="1"/>
      <name val="Geneva"/>
    </font>
    <font>
      <b/>
      <sz val="10"/>
      <color theme="1"/>
      <name val="Geneva"/>
    </font>
    <font>
      <b/>
      <sz val="9"/>
      <color theme="0" tint="-0.34998626667073579"/>
      <name val="Geneva"/>
    </font>
    <font>
      <b/>
      <sz val="10"/>
      <color theme="0" tint="-0.34998626667073579"/>
      <name val="Geneva"/>
    </font>
    <font>
      <b/>
      <sz val="10"/>
      <color theme="1" tint="0.34998626667073579"/>
      <name val="Geneva"/>
    </font>
    <font>
      <b/>
      <sz val="9"/>
      <color rgb="FF002060"/>
      <name val="Geneva"/>
    </font>
    <font>
      <sz val="7"/>
      <color theme="1"/>
      <name val="Geneva"/>
    </font>
    <font>
      <b/>
      <sz val="9"/>
      <color theme="0"/>
      <name val="Geneva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7"/>
      <color rgb="FF0070C0"/>
      <name val="Geneva"/>
    </font>
    <font>
      <sz val="7"/>
      <color rgb="FF0070C0"/>
      <name val="Geneva"/>
    </font>
    <font>
      <b/>
      <sz val="11"/>
      <color theme="1"/>
      <name val="Calibri"/>
      <family val="2"/>
      <scheme val="minor"/>
    </font>
    <font>
      <sz val="11"/>
      <color rgb="FF9933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Geneva"/>
    </font>
    <font>
      <b/>
      <sz val="9"/>
      <color rgb="FF008000"/>
      <name val="Geneva"/>
    </font>
    <font>
      <b/>
      <sz val="9"/>
      <color rgb="FF800000"/>
      <name val="Geneva"/>
    </font>
    <font>
      <b/>
      <sz val="8"/>
      <color theme="1"/>
      <name val="Geneva"/>
    </font>
    <font>
      <sz val="7"/>
      <color theme="3" tint="-0.249977111117893"/>
      <name val="Geneva"/>
    </font>
    <font>
      <b/>
      <sz val="9"/>
      <color rgb="FFFFFF00"/>
      <name val="Geneva"/>
    </font>
    <font>
      <sz val="9"/>
      <color rgb="FF800000"/>
      <name val="Geneva"/>
    </font>
    <font>
      <b/>
      <sz val="9"/>
      <color rgb="FF00B050"/>
      <name val="Geneva"/>
    </font>
    <font>
      <b/>
      <sz val="7"/>
      <color rgb="FF00B050"/>
      <name val="Geneva"/>
    </font>
    <font>
      <sz val="9"/>
      <color indexed="14"/>
      <name val="Geneva"/>
    </font>
    <font>
      <sz val="9"/>
      <color rgb="FFFF3399"/>
      <name val="Geneva"/>
    </font>
    <font>
      <b/>
      <sz val="9"/>
      <color rgb="FFFF3399"/>
      <name val="Geneva"/>
    </font>
    <font>
      <b/>
      <sz val="7"/>
      <color rgb="FFFFFF00"/>
      <name val="Geneva"/>
    </font>
    <font>
      <sz val="16"/>
      <color rgb="FFFF0000"/>
      <name val="Geneva"/>
    </font>
    <font>
      <b/>
      <sz val="7"/>
      <color theme="3" tint="-0.249977111117893"/>
      <name val="Geneva"/>
    </font>
    <font>
      <b/>
      <sz val="18"/>
      <color rgb="FF0070C0"/>
      <name val="Geneva"/>
    </font>
    <font>
      <b/>
      <sz val="18"/>
      <color theme="5" tint="-0.499984740745262"/>
      <name val="Geneva"/>
    </font>
    <font>
      <u/>
      <sz val="9"/>
      <color theme="10"/>
      <name val="Geneva"/>
    </font>
    <font>
      <u/>
      <sz val="9"/>
      <color theme="11"/>
      <name val="Geneva"/>
    </font>
    <font>
      <u/>
      <sz val="9"/>
      <name val="Geneva"/>
    </font>
    <font>
      <b/>
      <sz val="9"/>
      <color theme="0" tint="-0.249977111117893"/>
      <name val="Geneva"/>
    </font>
    <font>
      <b/>
      <sz val="6"/>
      <color rgb="FFFFFF00"/>
      <name val="Geneva"/>
    </font>
    <font>
      <b/>
      <sz val="9"/>
      <color rgb="FF6100A9"/>
      <name val="Geneva"/>
    </font>
    <font>
      <b/>
      <sz val="12"/>
      <color theme="1"/>
      <name val="Geneva"/>
    </font>
    <font>
      <b/>
      <sz val="9"/>
      <color rgb="FFCCFFCC"/>
      <name val="Geneva"/>
    </font>
    <font>
      <b/>
      <sz val="8"/>
      <color rgb="FF008000"/>
      <name val="Geneva"/>
    </font>
    <font>
      <b/>
      <sz val="7"/>
      <color rgb="FF800000"/>
      <name val="Geneva"/>
    </font>
    <font>
      <b/>
      <sz val="9"/>
      <color theme="8" tint="0.79998168889431442"/>
      <name val="Geneva"/>
    </font>
    <font>
      <b/>
      <sz val="7"/>
      <color rgb="FF008000"/>
      <name val="Geneva"/>
    </font>
    <font>
      <b/>
      <sz val="10"/>
      <color theme="8" tint="0.79998168889431442"/>
      <name val="Geneva"/>
    </font>
    <font>
      <b/>
      <sz val="10"/>
      <color rgb="FF00B050"/>
      <name val="Geneva"/>
    </font>
    <font>
      <b/>
      <sz val="10"/>
      <color rgb="FF800000"/>
      <name val="Geneva"/>
    </font>
    <font>
      <b/>
      <sz val="7"/>
      <color rgb="FF0000FF"/>
      <name val="Geneva"/>
    </font>
    <font>
      <b/>
      <sz val="8"/>
      <color rgb="FFDAEEF3"/>
      <name val="Geneva"/>
    </font>
    <font>
      <b/>
      <sz val="7"/>
      <color rgb="FF3366FF"/>
      <name val="Geneva"/>
    </font>
    <font>
      <sz val="9"/>
      <color rgb="FF008000"/>
      <name val="Geneva"/>
    </font>
    <font>
      <sz val="9"/>
      <color rgb="FF6100A9"/>
      <name val="Geneva"/>
    </font>
    <font>
      <sz val="9"/>
      <color rgb="FFFFFF00"/>
      <name val="Geneva"/>
    </font>
    <font>
      <b/>
      <sz val="12"/>
      <color rgb="FF6100A9"/>
      <name val="Geneva"/>
    </font>
    <font>
      <b/>
      <sz val="9"/>
      <color rgb="FFF20884"/>
      <name val="Geneva"/>
    </font>
    <font>
      <sz val="9"/>
      <color rgb="FFF20884"/>
      <name val="Geneva"/>
    </font>
    <font>
      <b/>
      <sz val="6"/>
      <color theme="4" tint="0.59999389629810485"/>
      <name val="Geneva"/>
    </font>
    <font>
      <b/>
      <sz val="11"/>
      <color rgb="FFFF0000"/>
      <name val="Geneva"/>
    </font>
    <font>
      <b/>
      <sz val="11"/>
      <color rgb="FF800000"/>
      <name val="Geneva"/>
    </font>
    <font>
      <b/>
      <sz val="11"/>
      <color rgb="FF3366FF"/>
      <name val="Geneva"/>
    </font>
    <font>
      <b/>
      <sz val="7"/>
      <color rgb="FFCCFFCC"/>
      <name val="Geneva"/>
    </font>
    <font>
      <b/>
      <sz val="6"/>
      <color rgb="FFFF0000"/>
      <name val="Geneva"/>
    </font>
    <font>
      <b/>
      <sz val="6"/>
      <color rgb="FF6100A9"/>
      <name val="Geneva"/>
    </font>
    <font>
      <sz val="16"/>
      <color indexed="10"/>
      <name val="Geneva"/>
    </font>
    <font>
      <sz val="8"/>
      <color rgb="FF6100A9"/>
      <name val="Geneva"/>
    </font>
    <font>
      <sz val="9"/>
      <color theme="0"/>
      <name val="Geneva"/>
    </font>
    <font>
      <b/>
      <sz val="9"/>
      <color rgb="FF000000"/>
      <name val="Geneva"/>
    </font>
    <font>
      <b/>
      <sz val="6"/>
      <color rgb="FF3366FF"/>
      <name val="Geneva"/>
    </font>
    <font>
      <b/>
      <sz val="12"/>
      <color indexed="8"/>
      <name val="Geneva"/>
    </font>
    <font>
      <b/>
      <sz val="14"/>
      <color indexed="19"/>
      <name val="Geneva"/>
    </font>
    <font>
      <sz val="9"/>
      <color theme="0" tint="-0.249977111117893"/>
      <name val="Geneva"/>
    </font>
    <font>
      <sz val="9"/>
      <color theme="0" tint="-0.499984740745262"/>
      <name val="Geneva"/>
    </font>
    <font>
      <b/>
      <sz val="9"/>
      <color theme="0" tint="-0.499984740745262"/>
      <name val="Geneva"/>
    </font>
    <font>
      <sz val="9"/>
      <color rgb="FF808080"/>
      <name val="Geneva"/>
    </font>
    <font>
      <b/>
      <sz val="18"/>
      <color theme="0" tint="-0.499984740745262"/>
      <name val="Geneva"/>
    </font>
    <font>
      <sz val="8"/>
      <color theme="1"/>
      <name val="Geneva"/>
    </font>
  </fonts>
  <fills count="5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5ABFF"/>
        <bgColor indexed="64"/>
      </patternFill>
    </fill>
    <fill>
      <patternFill patternType="lightGray">
        <fgColor indexed="43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E7FFE7"/>
        <bgColor indexed="64"/>
      </patternFill>
    </fill>
    <fill>
      <patternFill patternType="lightGray">
        <fgColor indexed="47"/>
        <bgColor rgb="FFFFFFCC"/>
      </patternFill>
    </fill>
    <fill>
      <patternFill patternType="lightGray">
        <fgColor indexed="45"/>
        <bgColor rgb="FFFFCCFF"/>
      </patternFill>
    </fill>
    <fill>
      <patternFill patternType="lightGray">
        <fgColor indexed="41"/>
        <bgColor rgb="FFCCECFF"/>
      </patternFill>
    </fill>
    <fill>
      <patternFill patternType="solid">
        <fgColor rgb="FFCCECFF"/>
        <bgColor indexed="64"/>
      </patternFill>
    </fill>
    <fill>
      <patternFill patternType="lightGray">
        <fgColor theme="0"/>
        <bgColor rgb="FFFFCCFF"/>
      </patternFill>
    </fill>
    <fill>
      <patternFill patternType="lightGray">
        <fgColor theme="0"/>
        <bgColor rgb="FFF9B4FF"/>
      </patternFill>
    </fill>
    <fill>
      <patternFill patternType="solid">
        <fgColor rgb="FF2D5AB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CF5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800000"/>
        <bgColor indexed="64"/>
      </patternFill>
    </fill>
    <fill>
      <patternFill patternType="darkGray">
        <fgColor theme="0"/>
        <bgColor rgb="FFCCFFCC"/>
      </patternFill>
    </fill>
    <fill>
      <patternFill patternType="solid">
        <fgColor rgb="FF00000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8EB9E"/>
        <bgColor indexed="64"/>
      </patternFill>
    </fill>
  </fills>
  <borders count="1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10"/>
      </right>
      <top/>
      <bottom style="thin">
        <color indexed="10"/>
      </bottom>
      <diagonal/>
    </border>
    <border>
      <left/>
      <right/>
      <top/>
      <bottom style="medium">
        <color indexed="9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/>
      <right/>
      <top style="thin">
        <color indexed="60"/>
      </top>
      <bottom style="thin">
        <color indexed="60"/>
      </bottom>
      <diagonal/>
    </border>
    <border>
      <left/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/>
      <diagonal/>
    </border>
    <border diagonalUp="1">
      <left/>
      <right/>
      <top/>
      <bottom/>
      <diagonal style="thick">
        <color indexed="10"/>
      </diagonal>
    </border>
    <border diagonalUp="1">
      <left/>
      <right/>
      <top/>
      <bottom/>
      <diagonal style="thick">
        <color indexed="14"/>
      </diagonal>
    </border>
    <border diagonalUp="1">
      <left/>
      <right/>
      <top/>
      <bottom/>
      <diagonal style="thick">
        <color indexed="16"/>
      </diagonal>
    </border>
    <border diagonalUp="1">
      <left/>
      <right/>
      <top/>
      <bottom/>
      <diagonal style="thick">
        <color indexed="53"/>
      </diagonal>
    </border>
    <border diagonalUp="1">
      <left/>
      <right/>
      <top/>
      <bottom/>
      <diagonal style="thick">
        <color indexed="11"/>
      </diagonal>
    </border>
    <border diagonalUp="1">
      <left/>
      <right/>
      <top/>
      <bottom/>
      <diagonal style="thick">
        <color indexed="17"/>
      </diagonal>
    </border>
    <border diagonalUp="1">
      <left/>
      <right/>
      <top/>
      <bottom/>
      <diagonal style="thick">
        <color indexed="58"/>
      </diagonal>
    </border>
    <border diagonalUp="1">
      <left/>
      <right/>
      <top/>
      <bottom/>
      <diagonal style="thick">
        <color indexed="61"/>
      </diagonal>
    </border>
    <border diagonalUp="1">
      <left/>
      <right/>
      <top/>
      <bottom/>
      <diagonal style="thick">
        <color indexed="12"/>
      </diagonal>
    </border>
    <border diagonalDown="1">
      <left/>
      <right/>
      <top/>
      <bottom/>
      <diagonal style="thin">
        <color auto="1"/>
      </diagonal>
    </border>
    <border diagonalDown="1">
      <left/>
      <right/>
      <top/>
      <bottom style="thin">
        <color auto="1"/>
      </bottom>
      <diagonal style="thin">
        <color auto="1"/>
      </diagonal>
    </border>
    <border diagonalDown="1">
      <left style="thin">
        <color auto="1"/>
      </left>
      <right/>
      <top/>
      <bottom/>
      <diagonal style="thin">
        <color auto="1"/>
      </diagonal>
    </border>
    <border diagonalUp="1">
      <left style="medium">
        <color indexed="10"/>
      </left>
      <right style="medium">
        <color indexed="10"/>
      </right>
      <top/>
      <bottom/>
      <diagonal style="medium">
        <color indexed="10"/>
      </diagonal>
    </border>
    <border diagonalDown="1">
      <left style="medium">
        <color indexed="10"/>
      </left>
      <right style="medium">
        <color indexed="10"/>
      </right>
      <top/>
      <bottom/>
      <diagonal style="medium">
        <color indexed="10"/>
      </diagonal>
    </border>
    <border>
      <left style="thick">
        <color indexed="9"/>
      </left>
      <right/>
      <top style="medium">
        <color auto="1"/>
      </top>
      <bottom/>
      <diagonal/>
    </border>
    <border>
      <left style="thick">
        <color indexed="9"/>
      </left>
      <right/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 diagonalUp="1">
      <left/>
      <right/>
      <top/>
      <bottom/>
      <diagonal style="thick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10"/>
      </top>
      <bottom/>
      <diagonal/>
    </border>
    <border>
      <left style="thin">
        <color auto="1"/>
      </left>
      <right/>
      <top style="thin">
        <color auto="1"/>
      </top>
      <bottom style="thin">
        <color indexed="10"/>
      </bottom>
      <diagonal/>
    </border>
    <border>
      <left/>
      <right style="medium">
        <color auto="1"/>
      </right>
      <top style="thin">
        <color auto="1"/>
      </top>
      <bottom style="thin">
        <color indexed="1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theme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medium">
        <color auto="1"/>
      </right>
      <top/>
      <bottom/>
      <diagonal style="thick">
        <color rgb="FFFF0000"/>
      </diagonal>
    </border>
    <border diagonalDown="1">
      <left style="thin">
        <color auto="1"/>
      </left>
      <right style="medium">
        <color auto="1"/>
      </right>
      <top/>
      <bottom/>
      <diagonal style="thick">
        <color rgb="FFFF0000"/>
      </diagonal>
    </border>
    <border diagonalUp="1">
      <left/>
      <right style="thin">
        <color auto="1"/>
      </right>
      <top/>
      <bottom/>
      <diagonal style="thick">
        <color rgb="FFFF0000"/>
      </diagonal>
    </border>
    <border diagonalDown="1">
      <left/>
      <right style="thin">
        <color auto="1"/>
      </right>
      <top/>
      <bottom/>
      <diagonal style="thick">
        <color rgb="FFFF0000"/>
      </diagonal>
    </border>
    <border diagonalDown="1">
      <left style="thin">
        <color auto="1"/>
      </left>
      <right/>
      <top/>
      <bottom/>
      <diagonal style="thick">
        <color rgb="FFFF0000"/>
      </diagonal>
    </border>
    <border diagonalUp="1">
      <left style="thin">
        <color auto="1"/>
      </left>
      <right/>
      <top/>
      <bottom/>
      <diagonal style="thick">
        <color rgb="FFFF0000"/>
      </diagonal>
    </border>
    <border>
      <left style="medium">
        <color auto="1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auto="1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1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theme="1"/>
      </left>
      <right style="thin">
        <color theme="1"/>
      </right>
      <top style="hair">
        <color auto="1"/>
      </top>
      <bottom/>
      <diagonal/>
    </border>
    <border>
      <left style="thin">
        <color rgb="FFDD0806"/>
      </left>
      <right/>
      <top style="thin">
        <color rgb="FFDD0806"/>
      </top>
      <bottom style="thin">
        <color rgb="FFDD0806"/>
      </bottom>
      <diagonal/>
    </border>
    <border>
      <left/>
      <right style="thin">
        <color indexed="10"/>
      </right>
      <top style="thin">
        <color rgb="FFDD0806"/>
      </top>
      <bottom style="thin">
        <color rgb="FFDD0806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471">
    <xf numFmtId="0" fontId="0" fillId="0" borderId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</cellStyleXfs>
  <cellXfs count="159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6" fillId="0" borderId="0" xfId="0" applyFont="1" applyBorder="1"/>
    <xf numFmtId="2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2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20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17" fontId="0" fillId="0" borderId="0" xfId="0" applyNumberFormat="1" applyAlignment="1">
      <alignment horizontal="center"/>
    </xf>
    <xf numFmtId="0" fontId="6" fillId="0" borderId="0" xfId="0" applyFon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2" fontId="5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5" fillId="0" borderId="0" xfId="0" applyNumberFormat="1" applyFont="1" applyBorder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20" fontId="0" fillId="0" borderId="0" xfId="0" applyNumberFormat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16" fillId="0" borderId="0" xfId="0" applyFont="1" applyFill="1" applyBorder="1" applyAlignment="1" applyProtection="1">
      <alignment horizontal="center"/>
      <protection locked="0"/>
    </xf>
    <xf numFmtId="1" fontId="16" fillId="0" borderId="0" xfId="0" applyNumberFormat="1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164" fontId="17" fillId="0" borderId="0" xfId="0" applyNumberFormat="1" applyFont="1" applyFill="1" applyBorder="1" applyAlignment="1">
      <alignment horizontal="center"/>
    </xf>
    <xf numFmtId="167" fontId="6" fillId="0" borderId="0" xfId="0" applyNumberFormat="1" applyFont="1" applyFill="1" applyBorder="1" applyAlignment="1" applyProtection="1">
      <alignment horizontal="center"/>
      <protection locked="0"/>
    </xf>
    <xf numFmtId="167" fontId="7" fillId="0" borderId="0" xfId="0" applyNumberFormat="1" applyFont="1" applyFill="1" applyBorder="1" applyAlignment="1" applyProtection="1">
      <alignment horizontal="center"/>
      <protection locked="0"/>
    </xf>
    <xf numFmtId="167" fontId="8" fillId="0" borderId="0" xfId="0" applyNumberFormat="1" applyFont="1" applyFill="1" applyBorder="1" applyAlignment="1" applyProtection="1">
      <alignment horizontal="center"/>
      <protection locked="0"/>
    </xf>
    <xf numFmtId="167" fontId="9" fillId="0" borderId="0" xfId="0" applyNumberFormat="1" applyFont="1" applyFill="1" applyBorder="1" applyAlignment="1" applyProtection="1">
      <alignment horizontal="center"/>
      <protection locked="0"/>
    </xf>
    <xf numFmtId="167" fontId="10" fillId="0" borderId="0" xfId="0" applyNumberFormat="1" applyFont="1" applyFill="1" applyBorder="1" applyAlignment="1" applyProtection="1">
      <alignment horizontal="center"/>
      <protection locked="0"/>
    </xf>
    <xf numFmtId="167" fontId="11" fillId="0" borderId="0" xfId="0" applyNumberFormat="1" applyFont="1" applyFill="1" applyBorder="1" applyAlignment="1" applyProtection="1">
      <alignment horizontal="center"/>
      <protection locked="0"/>
    </xf>
    <xf numFmtId="167" fontId="12" fillId="0" borderId="0" xfId="0" applyNumberFormat="1" applyFont="1" applyFill="1" applyBorder="1" applyAlignment="1" applyProtection="1">
      <alignment horizontal="center"/>
      <protection locked="0"/>
    </xf>
    <xf numFmtId="167" fontId="13" fillId="0" borderId="0" xfId="0" applyNumberFormat="1" applyFont="1" applyFill="1" applyBorder="1" applyAlignment="1" applyProtection="1">
      <alignment horizontal="center"/>
      <protection locked="0"/>
    </xf>
    <xf numFmtId="167" fontId="14" fillId="0" borderId="0" xfId="0" applyNumberFormat="1" applyFont="1" applyFill="1" applyBorder="1" applyAlignment="1" applyProtection="1">
      <alignment horizontal="center"/>
      <protection locked="0"/>
    </xf>
    <xf numFmtId="167" fontId="15" fillId="0" borderId="0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5" fillId="0" borderId="0" xfId="0" applyFont="1" applyFill="1" applyBorder="1"/>
    <xf numFmtId="2" fontId="0" fillId="0" borderId="0" xfId="0" applyNumberForma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67" fontId="2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right"/>
    </xf>
    <xf numFmtId="1" fontId="0" fillId="0" borderId="0" xfId="0" applyNumberFormat="1" applyFill="1" applyBorder="1" applyAlignment="1">
      <alignment horizontal="right"/>
    </xf>
    <xf numFmtId="0" fontId="0" fillId="0" borderId="0" xfId="0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  <protection locked="0"/>
    </xf>
    <xf numFmtId="0" fontId="0" fillId="3" borderId="4" xfId="0" applyFill="1" applyBorder="1" applyAlignment="1">
      <alignment horizontal="center"/>
    </xf>
    <xf numFmtId="17" fontId="4" fillId="3" borderId="4" xfId="0" applyNumberFormat="1" applyFont="1" applyFill="1" applyBorder="1" applyAlignment="1">
      <alignment horizontal="center"/>
    </xf>
    <xf numFmtId="17" fontId="4" fillId="3" borderId="0" xfId="0" applyNumberFormat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7" fontId="4" fillId="5" borderId="4" xfId="0" applyNumberFormat="1" applyFont="1" applyFill="1" applyBorder="1" applyAlignment="1">
      <alignment horizontal="center"/>
    </xf>
    <xf numFmtId="17" fontId="4" fillId="5" borderId="0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7" fontId="4" fillId="4" borderId="4" xfId="0" applyNumberFormat="1" applyFont="1" applyFill="1" applyBorder="1" applyAlignment="1">
      <alignment horizontal="center"/>
    </xf>
    <xf numFmtId="17" fontId="4" fillId="4" borderId="0" xfId="0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7" fontId="4" fillId="2" borderId="4" xfId="0" applyNumberFormat="1" applyFont="1" applyFill="1" applyBorder="1" applyAlignment="1">
      <alignment horizontal="center"/>
    </xf>
    <xf numFmtId="17" fontId="4" fillId="2" borderId="0" xfId="0" applyNumberFormat="1" applyFont="1" applyFill="1" applyBorder="1" applyAlignment="1">
      <alignment horizontal="center"/>
    </xf>
    <xf numFmtId="0" fontId="17" fillId="8" borderId="7" xfId="0" applyFont="1" applyFill="1" applyBorder="1" applyAlignment="1">
      <alignment horizontal="center"/>
    </xf>
    <xf numFmtId="0" fontId="17" fillId="8" borderId="8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17" fillId="8" borderId="4" xfId="0" applyFont="1" applyFill="1" applyBorder="1" applyAlignment="1">
      <alignment horizontal="center"/>
    </xf>
    <xf numFmtId="0" fontId="17" fillId="8" borderId="2" xfId="0" applyFont="1" applyFill="1" applyBorder="1" applyAlignment="1">
      <alignment horizontal="center"/>
    </xf>
    <xf numFmtId="0" fontId="17" fillId="8" borderId="10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7" fontId="4" fillId="7" borderId="4" xfId="0" applyNumberFormat="1" applyFont="1" applyFill="1" applyBorder="1" applyAlignment="1">
      <alignment horizontal="center"/>
    </xf>
    <xf numFmtId="17" fontId="4" fillId="7" borderId="0" xfId="0" applyNumberFormat="1" applyFont="1" applyFill="1" applyBorder="1" applyAlignment="1">
      <alignment horizontal="center"/>
    </xf>
    <xf numFmtId="17" fontId="4" fillId="7" borderId="10" xfId="0" applyNumberFormat="1" applyFont="1" applyFill="1" applyBorder="1" applyAlignment="1">
      <alignment horizontal="center"/>
    </xf>
    <xf numFmtId="0" fontId="0" fillId="7" borderId="7" xfId="0" applyFill="1" applyBorder="1" applyAlignment="1">
      <alignment horizontal="left"/>
    </xf>
    <xf numFmtId="20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center"/>
    </xf>
    <xf numFmtId="0" fontId="0" fillId="0" borderId="0" xfId="0" applyFill="1"/>
    <xf numFmtId="2" fontId="0" fillId="0" borderId="24" xfId="0" applyNumberFormat="1" applyBorder="1" applyAlignment="1">
      <alignment horizontal="center"/>
    </xf>
    <xf numFmtId="2" fontId="0" fillId="0" borderId="25" xfId="0" applyNumberFormat="1" applyFill="1" applyBorder="1" applyAlignment="1">
      <alignment horizontal="center"/>
    </xf>
    <xf numFmtId="0" fontId="0" fillId="0" borderId="24" xfId="0" applyFill="1" applyBorder="1"/>
    <xf numFmtId="2" fontId="0" fillId="0" borderId="0" xfId="0" applyNumberForma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center"/>
    </xf>
    <xf numFmtId="2" fontId="0" fillId="0" borderId="27" xfId="0" applyNumberFormat="1" applyFill="1" applyBorder="1" applyAlignment="1">
      <alignment horizontal="center" vertical="center"/>
    </xf>
    <xf numFmtId="2" fontId="0" fillId="0" borderId="28" xfId="0" applyNumberFormat="1" applyBorder="1" applyAlignment="1">
      <alignment horizontal="center"/>
    </xf>
    <xf numFmtId="2" fontId="0" fillId="0" borderId="29" xfId="0" applyNumberFormat="1" applyFill="1" applyBorder="1" applyAlignment="1">
      <alignment horizontal="center"/>
    </xf>
    <xf numFmtId="2" fontId="0" fillId="0" borderId="30" xfId="0" applyNumberFormat="1" applyFill="1" applyBorder="1" applyAlignment="1">
      <alignment horizontal="center"/>
    </xf>
    <xf numFmtId="2" fontId="0" fillId="0" borderId="31" xfId="0" applyNumberFormat="1" applyFill="1" applyBorder="1" applyAlignment="1">
      <alignment horizontal="center"/>
    </xf>
    <xf numFmtId="0" fontId="0" fillId="0" borderId="25" xfId="0" applyFill="1" applyBorder="1"/>
    <xf numFmtId="1" fontId="5" fillId="10" borderId="37" xfId="0" applyNumberFormat="1" applyFont="1" applyFill="1" applyBorder="1" applyAlignment="1">
      <alignment horizontal="center"/>
    </xf>
    <xf numFmtId="1" fontId="5" fillId="10" borderId="38" xfId="0" applyNumberFormat="1" applyFont="1" applyFill="1" applyBorder="1" applyAlignment="1">
      <alignment horizontal="center"/>
    </xf>
    <xf numFmtId="1" fontId="5" fillId="10" borderId="39" xfId="0" applyNumberFormat="1" applyFont="1" applyFill="1" applyBorder="1" applyAlignment="1">
      <alignment horizontal="center"/>
    </xf>
    <xf numFmtId="1" fontId="5" fillId="10" borderId="40" xfId="0" applyNumberFormat="1" applyFont="1" applyFill="1" applyBorder="1" applyAlignment="1">
      <alignment horizontal="center"/>
    </xf>
    <xf numFmtId="1" fontId="5" fillId="10" borderId="41" xfId="0" applyNumberFormat="1" applyFont="1" applyFill="1" applyBorder="1" applyAlignment="1">
      <alignment horizontal="center"/>
    </xf>
    <xf numFmtId="1" fontId="0" fillId="9" borderId="39" xfId="0" applyNumberFormat="1" applyFill="1" applyBorder="1" applyAlignment="1">
      <alignment horizontal="center"/>
    </xf>
    <xf numFmtId="1" fontId="0" fillId="9" borderId="40" xfId="0" applyNumberFormat="1" applyFill="1" applyBorder="1" applyAlignment="1">
      <alignment horizontal="center"/>
    </xf>
    <xf numFmtId="1" fontId="0" fillId="9" borderId="41" xfId="0" applyNumberFormat="1" applyFill="1" applyBorder="1" applyAlignment="1">
      <alignment horizontal="center"/>
    </xf>
    <xf numFmtId="1" fontId="0" fillId="11" borderId="42" xfId="0" applyNumberFormat="1" applyFill="1" applyBorder="1" applyAlignment="1">
      <alignment horizontal="center"/>
    </xf>
    <xf numFmtId="1" fontId="0" fillId="11" borderId="43" xfId="0" applyNumberFormat="1" applyFill="1" applyBorder="1" applyAlignment="1">
      <alignment horizontal="center"/>
    </xf>
    <xf numFmtId="1" fontId="0" fillId="11" borderId="0" xfId="0" applyNumberFormat="1" applyFill="1" applyBorder="1" applyAlignment="1">
      <alignment horizontal="center"/>
    </xf>
    <xf numFmtId="20" fontId="39" fillId="11" borderId="0" xfId="0" applyNumberFormat="1" applyFont="1" applyFill="1" applyAlignment="1">
      <alignment horizontal="center"/>
    </xf>
    <xf numFmtId="0" fontId="40" fillId="11" borderId="0" xfId="0" applyNumberFormat="1" applyFont="1" applyFill="1" applyAlignment="1">
      <alignment horizontal="center"/>
    </xf>
    <xf numFmtId="0" fontId="0" fillId="3" borderId="0" xfId="0" applyFill="1" applyBorder="1"/>
    <xf numFmtId="167" fontId="16" fillId="0" borderId="10" xfId="0" applyNumberFormat="1" applyFont="1" applyFill="1" applyBorder="1" applyAlignment="1" applyProtection="1">
      <alignment horizontal="center" vertical="center"/>
      <protection locked="0"/>
    </xf>
    <xf numFmtId="164" fontId="5" fillId="4" borderId="0" xfId="0" applyNumberFormat="1" applyFont="1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0" fillId="4" borderId="0" xfId="0" applyFill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right" vertical="center"/>
    </xf>
    <xf numFmtId="164" fontId="5" fillId="2" borderId="0" xfId="0" applyNumberFormat="1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right" vertical="center"/>
    </xf>
    <xf numFmtId="167" fontId="16" fillId="13" borderId="10" xfId="0" applyNumberFormat="1" applyFont="1" applyFill="1" applyBorder="1" applyAlignment="1" applyProtection="1">
      <alignment horizontal="center" vertical="center"/>
      <protection locked="0"/>
    </xf>
    <xf numFmtId="164" fontId="5" fillId="7" borderId="0" xfId="0" applyNumberFormat="1" applyFont="1" applyFill="1" applyAlignment="1" applyProtection="1">
      <alignment vertical="center"/>
    </xf>
    <xf numFmtId="0" fontId="0" fillId="7" borderId="0" xfId="0" applyFill="1" applyAlignment="1" applyProtection="1">
      <alignment vertical="center"/>
    </xf>
    <xf numFmtId="0" fontId="0" fillId="7" borderId="0" xfId="0" applyFill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right" vertical="center"/>
    </xf>
    <xf numFmtId="164" fontId="5" fillId="5" borderId="0" xfId="0" applyNumberFormat="1" applyFont="1" applyFill="1" applyAlignment="1" applyProtection="1">
      <alignment vertical="center"/>
    </xf>
    <xf numFmtId="0" fontId="0" fillId="5" borderId="0" xfId="0" applyFill="1" applyAlignment="1" applyProtection="1">
      <alignment vertical="center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right" vertical="center"/>
    </xf>
    <xf numFmtId="164" fontId="5" fillId="3" borderId="0" xfId="0" applyNumberFormat="1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Alignment="1">
      <alignment vertical="center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6" fillId="0" borderId="50" xfId="0" applyFont="1" applyBorder="1" applyAlignment="1">
      <alignment horizontal="center" vertical="center" wrapText="1"/>
    </xf>
    <xf numFmtId="0" fontId="46" fillId="0" borderId="51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0" fontId="46" fillId="0" borderId="53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left" vertical="top" wrapText="1"/>
    </xf>
    <xf numFmtId="0" fontId="0" fillId="3" borderId="11" xfId="0" applyFill="1" applyBorder="1" applyAlignment="1">
      <alignment horizontal="right"/>
    </xf>
    <xf numFmtId="0" fontId="4" fillId="3" borderId="5" xfId="0" applyFont="1" applyFill="1" applyBorder="1" applyAlignment="1">
      <alignment horizontal="center"/>
    </xf>
    <xf numFmtId="14" fontId="4" fillId="3" borderId="3" xfId="0" applyNumberFormat="1" applyFont="1" applyFill="1" applyBorder="1" applyAlignment="1">
      <alignment horizontal="center"/>
    </xf>
    <xf numFmtId="0" fontId="0" fillId="5" borderId="0" xfId="0" applyFill="1" applyBorder="1"/>
    <xf numFmtId="0" fontId="0" fillId="5" borderId="11" xfId="0" applyFill="1" applyBorder="1" applyAlignment="1">
      <alignment horizontal="right"/>
    </xf>
    <xf numFmtId="0" fontId="4" fillId="5" borderId="5" xfId="0" applyFont="1" applyFill="1" applyBorder="1" applyAlignment="1">
      <alignment horizontal="center"/>
    </xf>
    <xf numFmtId="14" fontId="4" fillId="5" borderId="3" xfId="0" applyNumberFormat="1" applyFont="1" applyFill="1" applyBorder="1" applyAlignment="1">
      <alignment horizontal="center"/>
    </xf>
    <xf numFmtId="0" fontId="3" fillId="4" borderId="49" xfId="0" applyFont="1" applyFill="1" applyBorder="1" applyAlignment="1">
      <alignment horizontal="center" vertical="center" wrapText="1"/>
    </xf>
    <xf numFmtId="0" fontId="3" fillId="4" borderId="51" xfId="0" applyFont="1" applyFill="1" applyBorder="1" applyAlignment="1">
      <alignment horizontal="center" vertical="center" wrapText="1"/>
    </xf>
    <xf numFmtId="0" fontId="3" fillId="4" borderId="53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7" borderId="0" xfId="0" applyFill="1" applyBorder="1"/>
    <xf numFmtId="0" fontId="0" fillId="7" borderId="0" xfId="0" applyFill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4" fillId="2" borderId="5" xfId="0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14" fontId="4" fillId="2" borderId="5" xfId="0" applyNumberFormat="1" applyFont="1" applyFill="1" applyBorder="1" applyAlignment="1">
      <alignment horizontal="left"/>
    </xf>
    <xf numFmtId="14" fontId="4" fillId="2" borderId="6" xfId="0" applyNumberFormat="1" applyFont="1" applyFill="1" applyBorder="1" applyAlignment="1">
      <alignment horizontal="left"/>
    </xf>
    <xf numFmtId="0" fontId="0" fillId="7" borderId="11" xfId="0" applyFill="1" applyBorder="1" applyAlignment="1">
      <alignment horizontal="right"/>
    </xf>
    <xf numFmtId="0" fontId="4" fillId="7" borderId="5" xfId="0" applyFont="1" applyFill="1" applyBorder="1" applyAlignment="1">
      <alignment horizontal="center"/>
    </xf>
    <xf numFmtId="14" fontId="4" fillId="7" borderId="3" xfId="0" applyNumberFormat="1" applyFont="1" applyFill="1" applyBorder="1" applyAlignment="1">
      <alignment horizontal="center"/>
    </xf>
    <xf numFmtId="0" fontId="45" fillId="0" borderId="51" xfId="0" applyFont="1" applyFill="1" applyBorder="1" applyAlignment="1" applyProtection="1">
      <alignment vertical="center"/>
      <protection locked="0"/>
    </xf>
    <xf numFmtId="0" fontId="45" fillId="0" borderId="53" xfId="0" applyFont="1" applyFill="1" applyBorder="1" applyAlignment="1" applyProtection="1">
      <alignment vertical="center"/>
      <protection locked="0"/>
    </xf>
    <xf numFmtId="0" fontId="0" fillId="0" borderId="51" xfId="0" applyFill="1" applyBorder="1" applyAlignment="1" applyProtection="1">
      <alignment vertical="center"/>
      <protection locked="0"/>
    </xf>
    <xf numFmtId="0" fontId="0" fillId="3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applyAlignment="1">
      <alignment horizontal="left"/>
    </xf>
    <xf numFmtId="1" fontId="39" fillId="14" borderId="2" xfId="0" applyNumberFormat="1" applyFont="1" applyFill="1" applyBorder="1" applyAlignment="1">
      <alignment horizontal="center"/>
    </xf>
    <xf numFmtId="1" fontId="39" fillId="15" borderId="2" xfId="0" applyNumberFormat="1" applyFont="1" applyFill="1" applyBorder="1" applyAlignment="1">
      <alignment horizontal="center"/>
    </xf>
    <xf numFmtId="1" fontId="39" fillId="10" borderId="2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1" fontId="41" fillId="0" borderId="2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0" fillId="16" borderId="3" xfId="0" applyFill="1" applyBorder="1" applyAlignment="1" applyProtection="1">
      <alignment horizontal="center"/>
      <protection locked="0"/>
    </xf>
    <xf numFmtId="20" fontId="47" fillId="11" borderId="0" xfId="0" applyNumberFormat="1" applyFont="1" applyFill="1" applyAlignment="1">
      <alignment horizontal="center"/>
    </xf>
    <xf numFmtId="14" fontId="47" fillId="11" borderId="0" xfId="0" applyNumberFormat="1" applyFont="1" applyFill="1" applyAlignment="1">
      <alignment horizontal="center"/>
    </xf>
    <xf numFmtId="0" fontId="47" fillId="11" borderId="0" xfId="0" applyFont="1" applyFill="1" applyAlignment="1">
      <alignment horizontal="center"/>
    </xf>
    <xf numFmtId="1" fontId="46" fillId="11" borderId="42" xfId="0" applyNumberFormat="1" applyFont="1" applyFill="1" applyBorder="1" applyAlignment="1">
      <alignment horizontal="center"/>
    </xf>
    <xf numFmtId="1" fontId="48" fillId="11" borderId="0" xfId="0" applyNumberFormat="1" applyFont="1" applyFill="1" applyBorder="1" applyAlignment="1">
      <alignment horizontal="center"/>
    </xf>
    <xf numFmtId="1" fontId="46" fillId="11" borderId="43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64" fontId="36" fillId="0" borderId="25" xfId="0" applyNumberFormat="1" applyFont="1" applyFill="1" applyBorder="1" applyAlignment="1">
      <alignment horizontal="center" vertical="center"/>
    </xf>
    <xf numFmtId="164" fontId="36" fillId="0" borderId="24" xfId="0" applyNumberFormat="1" applyFont="1" applyFill="1" applyBorder="1" applyAlignment="1">
      <alignment horizontal="center" vertical="center"/>
    </xf>
    <xf numFmtId="0" fontId="0" fillId="0" borderId="58" xfId="0" applyBorder="1"/>
    <xf numFmtId="0" fontId="41" fillId="0" borderId="0" xfId="0" applyFont="1" applyAlignment="1">
      <alignment horizontal="left"/>
    </xf>
    <xf numFmtId="0" fontId="0" fillId="7" borderId="7" xfId="0" applyFill="1" applyBorder="1" applyAlignment="1">
      <alignment horizontal="center"/>
    </xf>
    <xf numFmtId="1" fontId="41" fillId="0" borderId="1" xfId="0" quotePrefix="1" applyNumberFormat="1" applyFont="1" applyFill="1" applyBorder="1" applyAlignment="1">
      <alignment horizontal="center" vertical="center" wrapText="1"/>
    </xf>
    <xf numFmtId="1" fontId="41" fillId="17" borderId="2" xfId="0" applyNumberFormat="1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64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41" fillId="0" borderId="6" xfId="0" applyFont="1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65" xfId="0" applyBorder="1" applyProtection="1">
      <protection locked="0"/>
    </xf>
    <xf numFmtId="0" fontId="0" fillId="0" borderId="66" xfId="0" applyBorder="1" applyProtection="1"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41" fillId="0" borderId="5" xfId="0" applyFont="1" applyBorder="1" applyAlignment="1" applyProtection="1">
      <alignment horizontal="center"/>
      <protection locked="0"/>
    </xf>
    <xf numFmtId="0" fontId="19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7" xfId="0" applyFill="1" applyBorder="1"/>
    <xf numFmtId="0" fontId="0" fillId="0" borderId="68" xfId="0" applyBorder="1"/>
    <xf numFmtId="0" fontId="0" fillId="0" borderId="68" xfId="0" applyFill="1" applyBorder="1"/>
    <xf numFmtId="0" fontId="0" fillId="0" borderId="67" xfId="0" applyBorder="1"/>
    <xf numFmtId="1" fontId="41" fillId="17" borderId="36" xfId="0" applyNumberFormat="1" applyFont="1" applyFill="1" applyBorder="1" applyAlignment="1">
      <alignment horizontal="center"/>
    </xf>
    <xf numFmtId="1" fontId="41" fillId="17" borderId="37" xfId="0" applyNumberFormat="1" applyFont="1" applyFill="1" applyBorder="1" applyAlignment="1">
      <alignment horizontal="center"/>
    </xf>
    <xf numFmtId="0" fontId="41" fillId="17" borderId="36" xfId="0" applyFont="1" applyFill="1" applyBorder="1" applyAlignment="1">
      <alignment horizontal="center"/>
    </xf>
    <xf numFmtId="20" fontId="0" fillId="17" borderId="0" xfId="0" applyNumberFormat="1" applyFill="1" applyAlignment="1">
      <alignment horizontal="center"/>
    </xf>
    <xf numFmtId="0" fontId="0" fillId="17" borderId="0" xfId="0" applyFill="1" applyAlignment="1">
      <alignment horizontal="center"/>
    </xf>
    <xf numFmtId="1" fontId="0" fillId="17" borderId="0" xfId="0" applyNumberFormat="1" applyFill="1" applyAlignment="1">
      <alignment horizontal="center"/>
    </xf>
    <xf numFmtId="0" fontId="40" fillId="11" borderId="6" xfId="0" applyNumberFormat="1" applyFont="1" applyFill="1" applyBorder="1" applyAlignment="1">
      <alignment horizontal="center"/>
    </xf>
    <xf numFmtId="14" fontId="47" fillId="11" borderId="69" xfId="0" applyNumberFormat="1" applyFont="1" applyFill="1" applyBorder="1" applyAlignment="1">
      <alignment horizontal="center"/>
    </xf>
    <xf numFmtId="0" fontId="40" fillId="11" borderId="70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5" fillId="17" borderId="24" xfId="0" applyFont="1" applyFill="1" applyBorder="1" applyAlignment="1">
      <alignment horizontal="center"/>
    </xf>
    <xf numFmtId="0" fontId="0" fillId="17" borderId="0" xfId="0" applyFill="1"/>
    <xf numFmtId="1" fontId="4" fillId="3" borderId="5" xfId="0" applyNumberFormat="1" applyFont="1" applyFill="1" applyBorder="1" applyAlignment="1">
      <alignment horizontal="center"/>
    </xf>
    <xf numFmtId="1" fontId="4" fillId="3" borderId="6" xfId="0" applyNumberFormat="1" applyFont="1" applyFill="1" applyBorder="1" applyAlignment="1">
      <alignment horizontal="center"/>
    </xf>
    <xf numFmtId="1" fontId="4" fillId="3" borderId="11" xfId="0" applyNumberFormat="1" applyFont="1" applyFill="1" applyBorder="1" applyAlignment="1">
      <alignment horizontal="center"/>
    </xf>
    <xf numFmtId="1" fontId="4" fillId="5" borderId="5" xfId="0" applyNumberFormat="1" applyFont="1" applyFill="1" applyBorder="1" applyAlignment="1">
      <alignment horizontal="center"/>
    </xf>
    <xf numFmtId="1" fontId="4" fillId="5" borderId="6" xfId="0" applyNumberFormat="1" applyFont="1" applyFill="1" applyBorder="1" applyAlignment="1">
      <alignment horizontal="center"/>
    </xf>
    <xf numFmtId="1" fontId="4" fillId="5" borderId="11" xfId="0" applyNumberFormat="1" applyFont="1" applyFill="1" applyBorder="1" applyAlignment="1">
      <alignment horizontal="center"/>
    </xf>
    <xf numFmtId="1" fontId="4" fillId="4" borderId="11" xfId="0" applyNumberFormat="1" applyFont="1" applyFill="1" applyBorder="1" applyAlignment="1">
      <alignment horizontal="center"/>
    </xf>
    <xf numFmtId="1" fontId="4" fillId="4" borderId="6" xfId="0" applyNumberFormat="1" applyFont="1" applyFill="1" applyBorder="1" applyAlignment="1">
      <alignment horizontal="center"/>
    </xf>
    <xf numFmtId="2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2" fontId="19" fillId="0" borderId="0" xfId="0" applyNumberFormat="1" applyFont="1" applyBorder="1" applyAlignment="1" applyProtection="1">
      <alignment horizontal="center"/>
      <protection locked="0"/>
    </xf>
    <xf numFmtId="1" fontId="4" fillId="2" borderId="11" xfId="0" applyNumberFormat="1" applyFont="1" applyFill="1" applyBorder="1" applyAlignment="1">
      <alignment horizontal="center"/>
    </xf>
    <xf numFmtId="1" fontId="4" fillId="2" borderId="6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left"/>
    </xf>
    <xf numFmtId="14" fontId="4" fillId="0" borderId="0" xfId="0" applyNumberFormat="1" applyFont="1" applyFill="1" applyBorder="1" applyAlignment="1">
      <alignment horizontal="left" vertical="top" wrapText="1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3" fillId="0" borderId="40" xfId="0" applyFont="1" applyBorder="1"/>
    <xf numFmtId="0" fontId="0" fillId="0" borderId="40" xfId="0" applyBorder="1"/>
    <xf numFmtId="0" fontId="0" fillId="0" borderId="41" xfId="0" applyBorder="1"/>
    <xf numFmtId="0" fontId="0" fillId="0" borderId="42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2" xfId="0" applyBorder="1"/>
    <xf numFmtId="0" fontId="0" fillId="0" borderId="43" xfId="0" applyBorder="1"/>
    <xf numFmtId="20" fontId="0" fillId="0" borderId="42" xfId="0" applyNumberFormat="1" applyBorder="1" applyAlignment="1">
      <alignment horizontal="center"/>
    </xf>
    <xf numFmtId="1" fontId="49" fillId="0" borderId="43" xfId="0" applyNumberFormat="1" applyFont="1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2" xfId="0" applyBorder="1" applyAlignment="1" applyProtection="1">
      <alignment horizontal="center"/>
      <protection locked="0"/>
    </xf>
    <xf numFmtId="0" fontId="3" fillId="0" borderId="39" xfId="0" applyFont="1" applyBorder="1"/>
    <xf numFmtId="1" fontId="41" fillId="0" borderId="7" xfId="0" quotePrefix="1" applyNumberFormat="1" applyFont="1" applyFill="1" applyBorder="1" applyAlignment="1">
      <alignment horizontal="center" vertical="center" wrapText="1"/>
    </xf>
    <xf numFmtId="1" fontId="39" fillId="14" borderId="4" xfId="0" applyNumberFormat="1" applyFont="1" applyFill="1" applyBorder="1" applyAlignment="1">
      <alignment horizontal="center"/>
    </xf>
    <xf numFmtId="1" fontId="41" fillId="0" borderId="4" xfId="0" applyNumberFormat="1" applyFont="1" applyFill="1" applyBorder="1" applyAlignment="1">
      <alignment horizontal="center"/>
    </xf>
    <xf numFmtId="1" fontId="39" fillId="15" borderId="4" xfId="0" applyNumberFormat="1" applyFont="1" applyFill="1" applyBorder="1" applyAlignment="1">
      <alignment horizontal="center"/>
    </xf>
    <xf numFmtId="0" fontId="0" fillId="16" borderId="5" xfId="0" applyFill="1" applyBorder="1" applyAlignment="1" applyProtection="1">
      <alignment horizontal="center"/>
      <protection locked="0"/>
    </xf>
    <xf numFmtId="0" fontId="0" fillId="0" borderId="72" xfId="0" applyBorder="1" applyAlignment="1">
      <alignment horizontal="left" vertical="center"/>
    </xf>
    <xf numFmtId="1" fontId="39" fillId="14" borderId="73" xfId="0" applyNumberFormat="1" applyFont="1" applyFill="1" applyBorder="1" applyAlignment="1">
      <alignment horizontal="left"/>
    </xf>
    <xf numFmtId="1" fontId="0" fillId="0" borderId="73" xfId="0" applyNumberFormat="1" applyBorder="1" applyAlignment="1">
      <alignment horizontal="left"/>
    </xf>
    <xf numFmtId="1" fontId="39" fillId="15" borderId="73" xfId="0" applyNumberFormat="1" applyFont="1" applyFill="1" applyBorder="1" applyAlignment="1">
      <alignment horizontal="left"/>
    </xf>
    <xf numFmtId="1" fontId="39" fillId="10" borderId="73" xfId="0" applyNumberFormat="1" applyFont="1" applyFill="1" applyBorder="1" applyAlignment="1">
      <alignment horizontal="left"/>
    </xf>
    <xf numFmtId="1" fontId="0" fillId="16" borderId="73" xfId="0" applyNumberFormat="1" applyFill="1" applyBorder="1" applyAlignment="1">
      <alignment horizontal="left"/>
    </xf>
    <xf numFmtId="1" fontId="0" fillId="16" borderId="74" xfId="0" applyNumberFormat="1" applyFill="1" applyBorder="1" applyAlignment="1">
      <alignment horizontal="left"/>
    </xf>
    <xf numFmtId="0" fontId="49" fillId="0" borderId="43" xfId="0" applyFont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2" fontId="0" fillId="0" borderId="31" xfId="0" applyNumberFormat="1" applyFill="1" applyBorder="1" applyAlignment="1">
      <alignment horizontal="center" vertical="center"/>
    </xf>
    <xf numFmtId="0" fontId="54" fillId="0" borderId="0" xfId="0" applyFont="1"/>
    <xf numFmtId="0" fontId="4" fillId="0" borderId="50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 wrapText="1"/>
    </xf>
    <xf numFmtId="0" fontId="0" fillId="0" borderId="77" xfId="0" applyFill="1" applyBorder="1" applyAlignment="1" applyProtection="1">
      <alignment vertical="center"/>
      <protection locked="0"/>
    </xf>
    <xf numFmtId="0" fontId="46" fillId="0" borderId="53" xfId="0" applyNumberFormat="1" applyFont="1" applyFill="1" applyBorder="1" applyAlignment="1" applyProtection="1">
      <alignment vertical="center" wrapText="1"/>
      <protection locked="0"/>
    </xf>
    <xf numFmtId="0" fontId="4" fillId="0" borderId="48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168" fontId="0" fillId="0" borderId="0" xfId="0" applyNumberFormat="1"/>
    <xf numFmtId="14" fontId="20" fillId="3" borderId="71" xfId="0" applyNumberFormat="1" applyFont="1" applyFill="1" applyBorder="1" applyAlignment="1">
      <alignment horizontal="center" vertical="center"/>
    </xf>
    <xf numFmtId="14" fontId="20" fillId="3" borderId="75" xfId="0" applyNumberFormat="1" applyFont="1" applyFill="1" applyBorder="1" applyAlignment="1">
      <alignment horizontal="center" vertical="center"/>
    </xf>
    <xf numFmtId="14" fontId="20" fillId="4" borderId="71" xfId="0" applyNumberFormat="1" applyFont="1" applyFill="1" applyBorder="1" applyAlignment="1">
      <alignment horizontal="center" vertical="center"/>
    </xf>
    <xf numFmtId="14" fontId="20" fillId="4" borderId="75" xfId="0" applyNumberFormat="1" applyFont="1" applyFill="1" applyBorder="1" applyAlignment="1">
      <alignment horizontal="center" vertical="center"/>
    </xf>
    <xf numFmtId="1" fontId="5" fillId="10" borderId="36" xfId="0" applyNumberFormat="1" applyFont="1" applyFill="1" applyBorder="1" applyAlignment="1">
      <alignment horizontal="center"/>
    </xf>
    <xf numFmtId="0" fontId="57" fillId="0" borderId="51" xfId="0" applyFont="1" applyFill="1" applyBorder="1" applyAlignment="1" applyProtection="1">
      <alignment vertical="center" wrapText="1"/>
      <protection locked="0"/>
    </xf>
    <xf numFmtId="1" fontId="0" fillId="0" borderId="4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16" fillId="0" borderId="73" xfId="0" applyNumberFormat="1" applyFont="1" applyFill="1" applyBorder="1" applyAlignment="1">
      <alignment horizontal="left"/>
    </xf>
    <xf numFmtId="1" fontId="60" fillId="0" borderId="73" xfId="0" applyNumberFormat="1" applyFont="1" applyFill="1" applyBorder="1" applyAlignment="1">
      <alignment horizontal="center"/>
    </xf>
    <xf numFmtId="1" fontId="0" fillId="0" borderId="80" xfId="0" applyNumberFormat="1" applyBorder="1" applyAlignment="1">
      <alignment horizontal="center"/>
    </xf>
    <xf numFmtId="1" fontId="0" fillId="0" borderId="81" xfId="0" applyNumberFormat="1" applyBorder="1" applyAlignment="1">
      <alignment horizontal="center"/>
    </xf>
    <xf numFmtId="1" fontId="0" fillId="0" borderId="82" xfId="0" applyNumberFormat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1" fontId="0" fillId="0" borderId="83" xfId="0" applyNumberFormat="1" applyBorder="1" applyAlignment="1">
      <alignment horizontal="center"/>
    </xf>
    <xf numFmtId="1" fontId="0" fillId="0" borderId="84" xfId="0" applyNumberFormat="1" applyBorder="1" applyAlignment="1">
      <alignment horizontal="center"/>
    </xf>
    <xf numFmtId="1" fontId="0" fillId="0" borderId="85" xfId="0" applyNumberFormat="1" applyBorder="1" applyAlignment="1">
      <alignment horizontal="center"/>
    </xf>
    <xf numFmtId="1" fontId="0" fillId="0" borderId="46" xfId="0" applyNumberForma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87" xfId="0" applyBorder="1" applyAlignment="1">
      <alignment horizontal="center"/>
    </xf>
    <xf numFmtId="0" fontId="55" fillId="0" borderId="0" xfId="0" applyFont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39" xfId="0" applyBorder="1"/>
    <xf numFmtId="20" fontId="0" fillId="0" borderId="42" xfId="0" applyNumberFormat="1" applyBorder="1"/>
    <xf numFmtId="0" fontId="0" fillId="0" borderId="41" xfId="0" applyBorder="1" applyAlignment="1">
      <alignment horizontal="right"/>
    </xf>
    <xf numFmtId="0" fontId="64" fillId="0" borderId="0" xfId="0" applyFont="1"/>
    <xf numFmtId="0" fontId="20" fillId="0" borderId="0" xfId="0" applyFont="1" applyAlignment="1">
      <alignment horizontal="right"/>
    </xf>
    <xf numFmtId="0" fontId="52" fillId="0" borderId="0" xfId="0" applyFont="1"/>
    <xf numFmtId="0" fontId="52" fillId="0" borderId="0" xfId="0" applyFont="1" applyAlignment="1">
      <alignment horizontal="right"/>
    </xf>
    <xf numFmtId="2" fontId="52" fillId="0" borderId="0" xfId="0" applyNumberFormat="1" applyFont="1" applyAlignment="1">
      <alignment horizontal="left"/>
    </xf>
    <xf numFmtId="0" fontId="62" fillId="0" borderId="0" xfId="0" applyFont="1"/>
    <xf numFmtId="0" fontId="62" fillId="0" borderId="0" xfId="0" applyFont="1" applyAlignment="1">
      <alignment horizontal="right"/>
    </xf>
    <xf numFmtId="0" fontId="20" fillId="0" borderId="0" xfId="0" applyFont="1"/>
    <xf numFmtId="0" fontId="64" fillId="0" borderId="0" xfId="0" applyFont="1" applyAlignment="1">
      <alignment horizontal="right"/>
    </xf>
    <xf numFmtId="0" fontId="65" fillId="0" borderId="0" xfId="0" applyFont="1" applyAlignment="1">
      <alignment horizontal="right"/>
    </xf>
    <xf numFmtId="2" fontId="0" fillId="0" borderId="0" xfId="0" applyNumberFormat="1"/>
    <xf numFmtId="2" fontId="54" fillId="0" borderId="0" xfId="0" applyNumberFormat="1" applyFont="1"/>
    <xf numFmtId="2" fontId="64" fillId="0" borderId="0" xfId="0" applyNumberFormat="1" applyFont="1"/>
    <xf numFmtId="2" fontId="64" fillId="0" borderId="0" xfId="0" applyNumberFormat="1" applyFont="1" applyAlignment="1">
      <alignment horizontal="left"/>
    </xf>
    <xf numFmtId="0" fontId="66" fillId="0" borderId="51" xfId="0" applyFont="1" applyFill="1" applyBorder="1" applyAlignment="1" applyProtection="1">
      <alignment vertical="center" wrapText="1"/>
      <protection locked="0"/>
    </xf>
    <xf numFmtId="0" fontId="52" fillId="0" borderId="51" xfId="0" applyFont="1" applyFill="1" applyBorder="1" applyAlignment="1" applyProtection="1">
      <alignment vertical="center" wrapText="1"/>
      <protection locked="0"/>
    </xf>
    <xf numFmtId="0" fontId="0" fillId="0" borderId="10" xfId="0" applyBorder="1"/>
    <xf numFmtId="0" fontId="0" fillId="0" borderId="9" xfId="0" applyBorder="1"/>
    <xf numFmtId="0" fontId="35" fillId="0" borderId="0" xfId="0" applyFont="1" applyAlignment="1">
      <alignment horizontal="center"/>
    </xf>
    <xf numFmtId="0" fontId="16" fillId="0" borderId="51" xfId="0" applyFont="1" applyFill="1" applyBorder="1" applyAlignment="1" applyProtection="1">
      <alignment vertical="center" wrapText="1"/>
      <protection locked="0"/>
    </xf>
    <xf numFmtId="164" fontId="42" fillId="2" borderId="0" xfId="0" applyNumberFormat="1" applyFont="1" applyFill="1" applyAlignment="1" applyProtection="1">
      <alignment vertical="center"/>
    </xf>
    <xf numFmtId="0" fontId="69" fillId="0" borderId="51" xfId="0" applyFont="1" applyFill="1" applyBorder="1" applyAlignment="1" applyProtection="1">
      <alignment vertical="center" wrapText="1"/>
      <protection locked="0"/>
    </xf>
    <xf numFmtId="0" fontId="55" fillId="0" borderId="51" xfId="0" applyFont="1" applyFill="1" applyBorder="1" applyAlignment="1" applyProtection="1">
      <alignment vertical="center" wrapText="1"/>
      <protection locked="0"/>
    </xf>
    <xf numFmtId="0" fontId="0" fillId="0" borderId="10" xfId="0" applyFill="1" applyBorder="1"/>
    <xf numFmtId="0" fontId="17" fillId="0" borderId="10" xfId="0" applyFont="1" applyFill="1" applyBorder="1" applyAlignment="1">
      <alignment horizontal="center"/>
    </xf>
    <xf numFmtId="164" fontId="17" fillId="0" borderId="10" xfId="0" applyNumberFormat="1" applyFont="1" applyFill="1" applyBorder="1" applyAlignment="1">
      <alignment horizontal="center"/>
    </xf>
    <xf numFmtId="164" fontId="6" fillId="0" borderId="10" xfId="0" applyNumberFormat="1" applyFont="1" applyFill="1" applyBorder="1"/>
    <xf numFmtId="0" fontId="5" fillId="0" borderId="10" xfId="0" applyFont="1" applyFill="1" applyBorder="1"/>
    <xf numFmtId="0" fontId="5" fillId="0" borderId="10" xfId="0" applyFont="1" applyBorder="1"/>
    <xf numFmtId="2" fontId="5" fillId="0" borderId="10" xfId="0" applyNumberFormat="1" applyFont="1" applyBorder="1" applyAlignment="1">
      <alignment horizontal="center"/>
    </xf>
    <xf numFmtId="0" fontId="6" fillId="0" borderId="10" xfId="0" applyFont="1" applyBorder="1"/>
    <xf numFmtId="1" fontId="0" fillId="8" borderId="0" xfId="0" applyNumberFormat="1" applyFill="1" applyBorder="1"/>
    <xf numFmtId="1" fontId="0" fillId="8" borderId="45" xfId="0" applyNumberFormat="1" applyFill="1" applyBorder="1"/>
    <xf numFmtId="22" fontId="0" fillId="0" borderId="0" xfId="0" applyNumberFormat="1"/>
    <xf numFmtId="165" fontId="0" fillId="0" borderId="0" xfId="0" applyNumberFormat="1"/>
    <xf numFmtId="169" fontId="0" fillId="0" borderId="0" xfId="0" applyNumberFormat="1"/>
    <xf numFmtId="0" fontId="67" fillId="0" borderId="53" xfId="0" applyNumberFormat="1" applyFont="1" applyFill="1" applyBorder="1" applyAlignment="1" applyProtection="1">
      <alignment vertical="center" wrapText="1"/>
      <protection locked="0"/>
    </xf>
    <xf numFmtId="0" fontId="41" fillId="0" borderId="51" xfId="0" applyFont="1" applyFill="1" applyBorder="1" applyAlignment="1">
      <alignment horizontal="center" vertical="center" wrapText="1"/>
    </xf>
    <xf numFmtId="0" fontId="41" fillId="0" borderId="48" xfId="0" applyFont="1" applyBorder="1" applyAlignment="1">
      <alignment horizontal="center" vertical="center" wrapText="1"/>
    </xf>
    <xf numFmtId="0" fontId="41" fillId="0" borderId="49" xfId="0" applyFont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41" fillId="0" borderId="50" xfId="0" applyFont="1" applyBorder="1" applyAlignment="1">
      <alignment horizontal="center" vertical="center" wrapText="1"/>
    </xf>
    <xf numFmtId="0" fontId="41" fillId="0" borderId="51" xfId="0" applyFont="1" applyBorder="1" applyAlignment="1">
      <alignment horizontal="center" vertical="center" wrapText="1"/>
    </xf>
    <xf numFmtId="0" fontId="41" fillId="3" borderId="51" xfId="0" applyFont="1" applyFill="1" applyBorder="1" applyAlignment="1">
      <alignment horizontal="center" vertical="center" wrapText="1"/>
    </xf>
    <xf numFmtId="0" fontId="16" fillId="7" borderId="51" xfId="0" applyFont="1" applyFill="1" applyBorder="1" applyAlignment="1">
      <alignment horizontal="center" vertical="center" wrapText="1"/>
    </xf>
    <xf numFmtId="0" fontId="41" fillId="0" borderId="50" xfId="0" applyFont="1" applyFill="1" applyBorder="1" applyAlignment="1">
      <alignment horizontal="center" vertical="center" wrapText="1"/>
    </xf>
    <xf numFmtId="0" fontId="72" fillId="0" borderId="53" xfId="0" applyNumberFormat="1" applyFont="1" applyFill="1" applyBorder="1" applyAlignment="1" applyProtection="1">
      <alignment vertical="center" wrapText="1"/>
      <protection locked="0"/>
    </xf>
    <xf numFmtId="0" fontId="16" fillId="7" borderId="49" xfId="0" applyFont="1" applyFill="1" applyBorder="1" applyAlignment="1">
      <alignment horizontal="center" vertical="center" wrapText="1"/>
    </xf>
    <xf numFmtId="0" fontId="59" fillId="0" borderId="53" xfId="0" applyNumberFormat="1" applyFont="1" applyFill="1" applyBorder="1" applyAlignment="1" applyProtection="1">
      <alignment vertical="center" wrapText="1"/>
      <protection locked="0"/>
    </xf>
    <xf numFmtId="0" fontId="41" fillId="3" borderId="53" xfId="0" applyFont="1" applyFill="1" applyBorder="1" applyAlignment="1">
      <alignment horizontal="center" vertical="center" wrapText="1"/>
    </xf>
    <xf numFmtId="0" fontId="3" fillId="18" borderId="39" xfId="0" applyFont="1" applyFill="1" applyBorder="1"/>
    <xf numFmtId="0" fontId="0" fillId="18" borderId="41" xfId="0" applyFill="1" applyBorder="1"/>
    <xf numFmtId="0" fontId="0" fillId="18" borderId="46" xfId="0" applyFill="1" applyBorder="1"/>
    <xf numFmtId="0" fontId="3" fillId="0" borderId="0" xfId="0" applyFont="1" applyFill="1" applyBorder="1"/>
    <xf numFmtId="1" fontId="41" fillId="0" borderId="0" xfId="0" quotePrefix="1" applyNumberFormat="1" applyFont="1" applyFill="1" applyBorder="1" applyAlignment="1">
      <alignment horizontal="center" vertical="center" wrapText="1"/>
    </xf>
    <xf numFmtId="1" fontId="39" fillId="0" borderId="0" xfId="0" applyNumberFormat="1" applyFont="1" applyFill="1" applyBorder="1" applyAlignment="1">
      <alignment horizontal="center"/>
    </xf>
    <xf numFmtId="1" fontId="41" fillId="0" borderId="0" xfId="0" applyNumberFormat="1" applyFont="1" applyFill="1" applyBorder="1" applyAlignment="1">
      <alignment horizontal="center"/>
    </xf>
    <xf numFmtId="0" fontId="49" fillId="0" borderId="0" xfId="0" applyFont="1" applyFill="1" applyBorder="1" applyAlignment="1">
      <alignment horizontal="center"/>
    </xf>
    <xf numFmtId="1" fontId="60" fillId="0" borderId="0" xfId="0" applyNumberFormat="1" applyFont="1" applyFill="1" applyBorder="1" applyAlignment="1">
      <alignment horizontal="center"/>
    </xf>
    <xf numFmtId="1" fontId="49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17" fillId="8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7" fontId="4" fillId="0" borderId="0" xfId="0" applyNumberFormat="1" applyFont="1" applyFill="1" applyBorder="1" applyAlignment="1">
      <alignment horizontal="center"/>
    </xf>
    <xf numFmtId="1" fontId="5" fillId="0" borderId="0" xfId="0" quotePrefix="1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4" fontId="47" fillId="0" borderId="0" xfId="0" applyNumberFormat="1" applyFont="1" applyFill="1" applyBorder="1" applyAlignment="1">
      <alignment horizontal="center"/>
    </xf>
    <xf numFmtId="0" fontId="40" fillId="0" borderId="0" xfId="0" applyNumberFormat="1" applyFont="1" applyFill="1" applyBorder="1" applyAlignment="1">
      <alignment horizontal="center"/>
    </xf>
    <xf numFmtId="17" fontId="0" fillId="0" borderId="0" xfId="0" applyNumberFormat="1" applyFill="1" applyBorder="1" applyAlignment="1">
      <alignment horizontal="center"/>
    </xf>
    <xf numFmtId="168" fontId="0" fillId="0" borderId="0" xfId="0" applyNumberFormat="1" applyFill="1" applyBorder="1"/>
    <xf numFmtId="0" fontId="47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41" fillId="0" borderId="0" xfId="0" applyFont="1" applyBorder="1" applyAlignment="1">
      <alignment horizontal="left"/>
    </xf>
    <xf numFmtId="0" fontId="41" fillId="0" borderId="0" xfId="0" applyFont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9" fillId="0" borderId="0" xfId="0" applyFont="1" applyBorder="1" applyAlignment="1">
      <alignment horizontal="left"/>
    </xf>
    <xf numFmtId="0" fontId="19" fillId="0" borderId="0" xfId="0" applyFont="1" applyBorder="1" applyAlignment="1" applyProtection="1">
      <alignment horizontal="center"/>
      <protection locked="0"/>
    </xf>
    <xf numFmtId="0" fontId="55" fillId="0" borderId="42" xfId="0" applyFont="1" applyBorder="1" applyAlignment="1">
      <alignment horizontal="center"/>
    </xf>
    <xf numFmtId="1" fontId="0" fillId="0" borderId="0" xfId="0" applyNumberFormat="1"/>
    <xf numFmtId="0" fontId="0" fillId="7" borderId="0" xfId="0" applyFill="1" applyAlignment="1">
      <alignment horizontal="right"/>
    </xf>
    <xf numFmtId="2" fontId="0" fillId="0" borderId="5" xfId="0" applyNumberFormat="1" applyBorder="1"/>
    <xf numFmtId="2" fontId="3" fillId="2" borderId="0" xfId="0" applyNumberFormat="1" applyFont="1" applyFill="1"/>
    <xf numFmtId="2" fontId="3" fillId="2" borderId="11" xfId="0" applyNumberFormat="1" applyFont="1" applyFill="1" applyBorder="1"/>
    <xf numFmtId="2" fontId="3" fillId="2" borderId="10" xfId="0" applyNumberFormat="1" applyFont="1" applyFill="1" applyBorder="1"/>
    <xf numFmtId="2" fontId="0" fillId="0" borderId="4" xfId="0" applyNumberFormat="1" applyBorder="1"/>
    <xf numFmtId="0" fontId="0" fillId="0" borderId="83" xfId="0" applyBorder="1"/>
    <xf numFmtId="0" fontId="0" fillId="0" borderId="7" xfId="0" applyBorder="1"/>
    <xf numFmtId="0" fontId="0" fillId="0" borderId="85" xfId="0" applyBorder="1"/>
    <xf numFmtId="0" fontId="0" fillId="0" borderId="8" xfId="0" applyBorder="1"/>
    <xf numFmtId="1" fontId="0" fillId="0" borderId="8" xfId="0" applyNumberFormat="1" applyBorder="1"/>
    <xf numFmtId="1" fontId="0" fillId="0" borderId="9" xfId="0" applyNumberFormat="1" applyBorder="1"/>
    <xf numFmtId="1" fontId="0" fillId="0" borderId="0" xfId="0" applyNumberFormat="1" applyBorder="1"/>
    <xf numFmtId="1" fontId="0" fillId="0" borderId="10" xfId="0" applyNumberFormat="1" applyBorder="1"/>
    <xf numFmtId="1" fontId="0" fillId="0" borderId="6" xfId="0" applyNumberFormat="1" applyBorder="1"/>
    <xf numFmtId="1" fontId="0" fillId="0" borderId="11" xfId="0" applyNumberFormat="1" applyBorder="1"/>
    <xf numFmtId="0" fontId="75" fillId="2" borderId="39" xfId="0" applyFont="1" applyFill="1" applyBorder="1"/>
    <xf numFmtId="0" fontId="75" fillId="2" borderId="40" xfId="0" applyFont="1" applyFill="1" applyBorder="1"/>
    <xf numFmtId="0" fontId="75" fillId="2" borderId="40" xfId="0" applyFont="1" applyFill="1" applyBorder="1" applyAlignment="1" applyProtection="1">
      <alignment horizontal="center"/>
      <protection locked="0"/>
    </xf>
    <xf numFmtId="0" fontId="75" fillId="2" borderId="40" xfId="0" applyFont="1" applyFill="1" applyBorder="1" applyProtection="1">
      <protection locked="0"/>
    </xf>
    <xf numFmtId="0" fontId="0" fillId="2" borderId="40" xfId="0" applyFill="1" applyBorder="1"/>
    <xf numFmtId="0" fontId="0" fillId="2" borderId="41" xfId="0" applyFill="1" applyBorder="1"/>
    <xf numFmtId="0" fontId="0" fillId="2" borderId="44" xfId="0" applyFill="1" applyBorder="1"/>
    <xf numFmtId="0" fontId="0" fillId="2" borderId="45" xfId="0" applyFill="1" applyBorder="1"/>
    <xf numFmtId="0" fontId="75" fillId="2" borderId="45" xfId="0" applyFont="1" applyFill="1" applyBorder="1"/>
    <xf numFmtId="0" fontId="0" fillId="2" borderId="46" xfId="0" applyFill="1" applyBorder="1"/>
    <xf numFmtId="0" fontId="59" fillId="0" borderId="51" xfId="0" applyFont="1" applyFill="1" applyBorder="1" applyAlignment="1" applyProtection="1">
      <alignment vertical="center" wrapText="1"/>
      <protection locked="0"/>
    </xf>
    <xf numFmtId="0" fontId="78" fillId="0" borderId="51" xfId="0" applyFont="1" applyFill="1" applyBorder="1" applyAlignment="1" applyProtection="1">
      <alignment vertical="center" wrapText="1"/>
      <protection locked="0"/>
    </xf>
    <xf numFmtId="0" fontId="53" fillId="0" borderId="0" xfId="0" applyFont="1" applyAlignment="1">
      <alignment horizontal="left" vertical="center"/>
    </xf>
    <xf numFmtId="0" fontId="80" fillId="0" borderId="51" xfId="0" applyFont="1" applyFill="1" applyBorder="1" applyAlignment="1" applyProtection="1">
      <alignment vertical="center" wrapText="1"/>
      <protection locked="0"/>
    </xf>
    <xf numFmtId="14" fontId="4" fillId="22" borderId="3" xfId="0" applyNumberFormat="1" applyFont="1" applyFill="1" applyBorder="1" applyAlignment="1">
      <alignment horizontal="center"/>
    </xf>
    <xf numFmtId="0" fontId="81" fillId="0" borderId="0" xfId="0" applyFont="1"/>
    <xf numFmtId="1" fontId="0" fillId="26" borderId="0" xfId="0" applyNumberFormat="1" applyFill="1" applyBorder="1" applyAlignment="1">
      <alignment horizontal="center"/>
    </xf>
    <xf numFmtId="0" fontId="0" fillId="0" borderId="0" xfId="0" quotePrefix="1"/>
    <xf numFmtId="2" fontId="0" fillId="26" borderId="27" xfId="0" applyNumberFormat="1" applyFill="1" applyBorder="1" applyAlignment="1">
      <alignment horizontal="center" vertical="center"/>
    </xf>
    <xf numFmtId="2" fontId="0" fillId="26" borderId="0" xfId="0" applyNumberFormat="1" applyFill="1" applyBorder="1" applyAlignment="1">
      <alignment horizontal="center"/>
    </xf>
    <xf numFmtId="2" fontId="0" fillId="26" borderId="30" xfId="0" applyNumberFormat="1" applyFill="1" applyBorder="1" applyAlignment="1">
      <alignment horizontal="center"/>
    </xf>
    <xf numFmtId="0" fontId="0" fillId="26" borderId="24" xfId="0" applyFill="1" applyBorder="1"/>
    <xf numFmtId="0" fontId="0" fillId="26" borderId="68" xfId="0" applyFill="1" applyBorder="1"/>
    <xf numFmtId="0" fontId="0" fillId="26" borderId="0" xfId="0" applyFill="1"/>
    <xf numFmtId="0" fontId="0" fillId="26" borderId="25" xfId="0" applyFill="1" applyBorder="1"/>
    <xf numFmtId="0" fontId="0" fillId="26" borderId="67" xfId="0" applyFill="1" applyBorder="1"/>
    <xf numFmtId="0" fontId="0" fillId="26" borderId="0" xfId="0" applyFill="1" applyBorder="1"/>
    <xf numFmtId="0" fontId="13" fillId="26" borderId="0" xfId="0" applyFont="1" applyFill="1" applyBorder="1" applyAlignment="1">
      <alignment horizontal="center"/>
    </xf>
    <xf numFmtId="0" fontId="14" fillId="26" borderId="0" xfId="0" applyFont="1" applyFill="1" applyBorder="1" applyAlignment="1">
      <alignment horizontal="center"/>
    </xf>
    <xf numFmtId="0" fontId="15" fillId="26" borderId="0" xfId="0" applyFont="1" applyFill="1" applyBorder="1" applyAlignment="1">
      <alignment horizontal="center"/>
    </xf>
    <xf numFmtId="0" fontId="19" fillId="26" borderId="0" xfId="0" applyFont="1" applyFill="1" applyBorder="1" applyAlignment="1" applyProtection="1">
      <alignment horizontal="center"/>
      <protection locked="0"/>
    </xf>
    <xf numFmtId="0" fontId="16" fillId="26" borderId="0" xfId="0" applyFont="1" applyFill="1" applyBorder="1" applyAlignment="1" applyProtection="1">
      <alignment horizontal="center"/>
      <protection locked="0"/>
    </xf>
    <xf numFmtId="167" fontId="13" fillId="26" borderId="0" xfId="0" applyNumberFormat="1" applyFont="1" applyFill="1" applyBorder="1" applyAlignment="1" applyProtection="1">
      <alignment horizontal="center"/>
      <protection locked="0"/>
    </xf>
    <xf numFmtId="167" fontId="14" fillId="26" borderId="0" xfId="0" applyNumberFormat="1" applyFont="1" applyFill="1" applyBorder="1" applyAlignment="1" applyProtection="1">
      <alignment horizontal="center"/>
      <protection locked="0"/>
    </xf>
    <xf numFmtId="167" fontId="15" fillId="26" borderId="0" xfId="0" applyNumberFormat="1" applyFont="1" applyFill="1" applyBorder="1" applyAlignment="1" applyProtection="1">
      <alignment horizontal="center"/>
      <protection locked="0"/>
    </xf>
    <xf numFmtId="0" fontId="0" fillId="26" borderId="0" xfId="0" applyFill="1" applyBorder="1" applyAlignment="1">
      <alignment horizontal="center"/>
    </xf>
    <xf numFmtId="164" fontId="0" fillId="26" borderId="0" xfId="0" applyNumberFormat="1" applyFill="1" applyBorder="1" applyAlignment="1">
      <alignment horizontal="center"/>
    </xf>
    <xf numFmtId="0" fontId="5" fillId="26" borderId="0" xfId="0" applyFont="1" applyFill="1" applyBorder="1" applyAlignment="1">
      <alignment horizontal="center"/>
    </xf>
    <xf numFmtId="1" fontId="0" fillId="26" borderId="0" xfId="0" applyNumberFormat="1" applyFill="1" applyBorder="1" applyAlignment="1">
      <alignment horizontal="right"/>
    </xf>
    <xf numFmtId="2" fontId="0" fillId="26" borderId="24" xfId="0" applyNumberFormat="1" applyFill="1" applyBorder="1" applyAlignment="1">
      <alignment horizontal="center"/>
    </xf>
    <xf numFmtId="2" fontId="0" fillId="26" borderId="26" xfId="0" applyNumberFormat="1" applyFill="1" applyBorder="1" applyAlignment="1">
      <alignment horizontal="center"/>
    </xf>
    <xf numFmtId="0" fontId="0" fillId="26" borderId="10" xfId="0" applyFill="1" applyBorder="1"/>
    <xf numFmtId="0" fontId="82" fillId="27" borderId="3" xfId="0" applyFont="1" applyFill="1" applyBorder="1" applyAlignment="1">
      <alignment horizontal="center" vertical="center" wrapText="1"/>
    </xf>
    <xf numFmtId="0" fontId="82" fillId="27" borderId="96" xfId="0" applyFont="1" applyFill="1" applyBorder="1" applyAlignment="1">
      <alignment horizontal="center" vertical="center" wrapText="1"/>
    </xf>
    <xf numFmtId="0" fontId="77" fillId="27" borderId="3" xfId="0" applyFont="1" applyFill="1" applyBorder="1"/>
    <xf numFmtId="0" fontId="78" fillId="26" borderId="51" xfId="0" applyFont="1" applyFill="1" applyBorder="1" applyAlignment="1" applyProtection="1">
      <alignment horizontal="center" vertical="center" wrapText="1"/>
    </xf>
    <xf numFmtId="0" fontId="78" fillId="26" borderId="1" xfId="0" applyFont="1" applyFill="1" applyBorder="1" applyAlignment="1" applyProtection="1">
      <alignment horizontal="center" vertical="center" wrapText="1"/>
    </xf>
    <xf numFmtId="14" fontId="78" fillId="26" borderId="51" xfId="0" quotePrefix="1" applyNumberFormat="1" applyFont="1" applyFill="1" applyBorder="1" applyAlignment="1" applyProtection="1">
      <alignment horizontal="center" vertical="center" wrapText="1"/>
    </xf>
    <xf numFmtId="0" fontId="57" fillId="26" borderId="53" xfId="0" applyNumberFormat="1" applyFont="1" applyFill="1" applyBorder="1" applyAlignment="1" applyProtection="1">
      <alignment horizontal="center" vertical="center" wrapText="1"/>
    </xf>
    <xf numFmtId="2" fontId="0" fillId="26" borderId="0" xfId="0" applyNumberFormat="1" applyFill="1" applyBorder="1" applyAlignment="1"/>
    <xf numFmtId="0" fontId="0" fillId="0" borderId="0" xfId="0" applyAlignment="1">
      <alignment shrinkToFit="1"/>
    </xf>
    <xf numFmtId="0" fontId="0" fillId="0" borderId="0" xfId="0" applyAlignment="1"/>
    <xf numFmtId="0" fontId="0" fillId="0" borderId="0" xfId="0" applyAlignment="1">
      <alignment horizontal="center" shrinkToFit="1"/>
    </xf>
    <xf numFmtId="0" fontId="0" fillId="0" borderId="0" xfId="0" quotePrefix="1" applyAlignment="1"/>
    <xf numFmtId="0" fontId="0" fillId="29" borderId="0" xfId="0" applyFill="1" applyBorder="1"/>
    <xf numFmtId="0" fontId="0" fillId="29" borderId="45" xfId="0" applyFill="1" applyBorder="1"/>
    <xf numFmtId="170" fontId="0" fillId="0" borderId="0" xfId="0" applyNumberFormat="1" applyAlignment="1">
      <alignment horizontal="center" shrinkToFit="1"/>
    </xf>
    <xf numFmtId="0" fontId="89" fillId="30" borderId="0" xfId="0" applyFont="1" applyFill="1" applyAlignment="1">
      <alignment horizontal="center"/>
    </xf>
    <xf numFmtId="0" fontId="90" fillId="30" borderId="49" xfId="0" quotePrefix="1" applyNumberFormat="1" applyFont="1" applyFill="1" applyBorder="1" applyAlignment="1">
      <alignment horizontal="center" vertical="center" wrapText="1"/>
    </xf>
    <xf numFmtId="0" fontId="90" fillId="30" borderId="51" xfId="0" quotePrefix="1" applyNumberFormat="1" applyFont="1" applyFill="1" applyBorder="1" applyAlignment="1">
      <alignment horizontal="center" vertical="center" wrapText="1"/>
    </xf>
    <xf numFmtId="0" fontId="91" fillId="0" borderId="50" xfId="0" applyFont="1" applyBorder="1" applyAlignment="1">
      <alignment horizontal="center" vertical="center" wrapText="1"/>
    </xf>
    <xf numFmtId="0" fontId="91" fillId="0" borderId="51" xfId="0" applyFont="1" applyBorder="1" applyAlignment="1">
      <alignment horizontal="center" vertical="center" wrapText="1"/>
    </xf>
    <xf numFmtId="0" fontId="79" fillId="7" borderId="51" xfId="0" applyFont="1" applyFill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0" fontId="82" fillId="32" borderId="107" xfId="0" applyFont="1" applyFill="1" applyBorder="1" applyAlignment="1">
      <alignment horizontal="center" vertical="center" wrapText="1"/>
    </xf>
    <xf numFmtId="0" fontId="82" fillId="32" borderId="94" xfId="0" applyFont="1" applyFill="1" applyBorder="1" applyAlignment="1">
      <alignment horizontal="center" vertical="center" wrapText="1"/>
    </xf>
    <xf numFmtId="0" fontId="82" fillId="32" borderId="2" xfId="0" applyFont="1" applyFill="1" applyBorder="1" applyAlignment="1">
      <alignment horizontal="center" vertical="center" wrapText="1"/>
    </xf>
    <xf numFmtId="0" fontId="77" fillId="32" borderId="2" xfId="0" applyFont="1" applyFill="1" applyBorder="1"/>
    <xf numFmtId="0" fontId="82" fillId="33" borderId="4" xfId="0" applyFont="1" applyFill="1" applyBorder="1" applyAlignment="1">
      <alignment horizontal="center" vertical="center" wrapText="1"/>
    </xf>
    <xf numFmtId="0" fontId="82" fillId="33" borderId="2" xfId="0" applyFont="1" applyFill="1" applyBorder="1" applyAlignment="1">
      <alignment horizontal="center" vertical="center" wrapText="1"/>
    </xf>
    <xf numFmtId="0" fontId="77" fillId="33" borderId="2" xfId="0" applyFont="1" applyFill="1" applyBorder="1"/>
    <xf numFmtId="0" fontId="77" fillId="0" borderId="51" xfId="0" applyFont="1" applyFill="1" applyBorder="1" applyAlignment="1" applyProtection="1">
      <alignment horizontal="center" vertical="center" wrapText="1"/>
      <protection locked="0"/>
    </xf>
    <xf numFmtId="0" fontId="3" fillId="7" borderId="51" xfId="0" applyFont="1" applyFill="1" applyBorder="1" applyAlignment="1">
      <alignment horizontal="center" vertical="center" wrapText="1"/>
    </xf>
    <xf numFmtId="0" fontId="84" fillId="0" borderId="51" xfId="0" applyFont="1" applyFill="1" applyBorder="1" applyAlignment="1" applyProtection="1">
      <alignment vertical="center" wrapText="1"/>
      <protection locked="0"/>
    </xf>
    <xf numFmtId="0" fontId="0" fillId="0" borderId="44" xfId="0" applyBorder="1" applyAlignment="1">
      <alignment shrinkToFit="1"/>
    </xf>
    <xf numFmtId="1" fontId="0" fillId="0" borderId="74" xfId="0" applyNumberFormat="1" applyFill="1" applyBorder="1" applyAlignment="1">
      <alignment horizontal="left"/>
    </xf>
    <xf numFmtId="1" fontId="0" fillId="0" borderId="45" xfId="0" applyNumberFormat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3" xfId="0" applyFill="1" applyBorder="1" applyAlignment="1" applyProtection="1">
      <alignment horizontal="center"/>
      <protection locked="0"/>
    </xf>
    <xf numFmtId="0" fontId="84" fillId="0" borderId="51" xfId="0" applyFont="1" applyFill="1" applyBorder="1" applyAlignment="1" applyProtection="1">
      <alignment horizontal="center" vertical="center" wrapText="1"/>
      <protection locked="0"/>
    </xf>
    <xf numFmtId="0" fontId="0" fillId="0" borderId="108" xfId="0" applyBorder="1"/>
    <xf numFmtId="0" fontId="0" fillId="0" borderId="39" xfId="0" applyBorder="1"/>
    <xf numFmtId="0" fontId="0" fillId="0" borderId="0" xfId="0"/>
    <xf numFmtId="0" fontId="0" fillId="0" borderId="42" xfId="0" applyBorder="1"/>
    <xf numFmtId="0" fontId="0" fillId="0" borderId="44" xfId="0" applyBorder="1"/>
    <xf numFmtId="0" fontId="0" fillId="0" borderId="0" xfId="0" applyAlignment="1">
      <alignment horizontal="center"/>
    </xf>
    <xf numFmtId="0" fontId="100" fillId="34" borderId="0" xfId="0" applyFont="1" applyFill="1"/>
    <xf numFmtId="0" fontId="84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84" fillId="0" borderId="51" xfId="0" applyFont="1" applyFill="1" applyBorder="1" applyAlignment="1" applyProtection="1">
      <alignment horizontal="left" vertical="center" wrapText="1"/>
      <protection locked="0"/>
    </xf>
    <xf numFmtId="0" fontId="101" fillId="0" borderId="51" xfId="0" applyFont="1" applyFill="1" applyBorder="1" applyAlignment="1" applyProtection="1">
      <alignment horizontal="center" vertical="center" wrapText="1"/>
      <protection locked="0"/>
    </xf>
    <xf numFmtId="0" fontId="104" fillId="35" borderId="40" xfId="0" applyFont="1" applyFill="1" applyBorder="1"/>
    <xf numFmtId="0" fontId="99" fillId="35" borderId="40" xfId="0" applyFont="1" applyFill="1" applyBorder="1"/>
    <xf numFmtId="0" fontId="105" fillId="35" borderId="40" xfId="0" applyFont="1" applyFill="1" applyBorder="1"/>
    <xf numFmtId="0" fontId="106" fillId="35" borderId="40" xfId="0" applyFont="1" applyFill="1" applyBorder="1"/>
    <xf numFmtId="0" fontId="107" fillId="35" borderId="41" xfId="0" applyFont="1" applyFill="1" applyBorder="1"/>
    <xf numFmtId="0" fontId="103" fillId="35" borderId="40" xfId="0" applyFont="1" applyFill="1" applyBorder="1" applyAlignment="1">
      <alignment horizontal="center"/>
    </xf>
    <xf numFmtId="0" fontId="99" fillId="35" borderId="0" xfId="0" applyFont="1" applyFill="1" applyBorder="1" applyAlignment="1">
      <alignment horizontal="center"/>
    </xf>
    <xf numFmtId="0" fontId="0" fillId="24" borderId="42" xfId="0" applyFill="1" applyBorder="1"/>
    <xf numFmtId="0" fontId="100" fillId="36" borderId="0" xfId="0" applyFont="1" applyFill="1"/>
    <xf numFmtId="0" fontId="107" fillId="37" borderId="99" xfId="0" applyFont="1" applyFill="1" applyBorder="1" applyAlignment="1">
      <alignment horizontal="center"/>
    </xf>
    <xf numFmtId="0" fontId="2" fillId="37" borderId="73" xfId="0" applyFont="1" applyFill="1" applyBorder="1" applyAlignment="1">
      <alignment horizontal="center"/>
    </xf>
    <xf numFmtId="164" fontId="0" fillId="37" borderId="73" xfId="0" applyNumberFormat="1" applyFill="1" applyBorder="1" applyAlignment="1">
      <alignment horizontal="center"/>
    </xf>
    <xf numFmtId="164" fontId="0" fillId="37" borderId="10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41" xfId="0" applyBorder="1"/>
    <xf numFmtId="0" fontId="0" fillId="0" borderId="0" xfId="0" applyBorder="1"/>
    <xf numFmtId="0" fontId="0" fillId="0" borderId="43" xfId="0" applyBorder="1"/>
    <xf numFmtId="0" fontId="0" fillId="0" borderId="46" xfId="0" applyBorder="1"/>
    <xf numFmtId="0" fontId="0" fillId="0" borderId="0" xfId="0" applyBorder="1" applyAlignment="1">
      <alignment horizontal="center"/>
    </xf>
    <xf numFmtId="0" fontId="0" fillId="0" borderId="51" xfId="0" applyFill="1" applyBorder="1" applyAlignment="1" applyProtection="1">
      <alignment horizontal="center" vertical="center" wrapText="1"/>
      <protection locked="0"/>
    </xf>
    <xf numFmtId="0" fontId="102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91" fillId="0" borderId="50" xfId="0" applyFont="1" applyFill="1" applyBorder="1" applyAlignment="1">
      <alignment horizontal="center" vertical="center" wrapText="1"/>
    </xf>
    <xf numFmtId="0" fontId="91" fillId="0" borderId="51" xfId="0" applyFont="1" applyFill="1" applyBorder="1" applyAlignment="1">
      <alignment horizontal="center" vertical="center" wrapText="1"/>
    </xf>
    <xf numFmtId="0" fontId="0" fillId="0" borderId="50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111" fillId="5" borderId="51" xfId="0" applyFont="1" applyFill="1" applyBorder="1" applyAlignment="1">
      <alignment horizontal="center" vertical="center" wrapText="1"/>
    </xf>
    <xf numFmtId="0" fontId="91" fillId="0" borderId="52" xfId="0" applyFont="1" applyBorder="1" applyAlignment="1">
      <alignment horizontal="center" vertical="center" wrapText="1"/>
    </xf>
    <xf numFmtId="0" fontId="91" fillId="0" borderId="53" xfId="0" applyFont="1" applyBorder="1" applyAlignment="1">
      <alignment horizontal="center" vertical="center" wrapText="1"/>
    </xf>
    <xf numFmtId="0" fontId="111" fillId="5" borderId="53" xfId="0" applyFont="1" applyFill="1" applyBorder="1" applyAlignment="1">
      <alignment horizontal="center" vertical="center" wrapText="1"/>
    </xf>
    <xf numFmtId="0" fontId="112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69" fillId="0" borderId="51" xfId="0" applyFont="1" applyFill="1" applyBorder="1" applyAlignment="1" applyProtection="1">
      <alignment horizontal="center" vertical="center" wrapText="1"/>
      <protection locked="0"/>
    </xf>
    <xf numFmtId="0" fontId="80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52" fillId="0" borderId="51" xfId="0" applyFont="1" applyFill="1" applyBorder="1" applyAlignment="1" applyProtection="1">
      <alignment horizontal="center" vertical="center" wrapText="1"/>
      <protection locked="0"/>
    </xf>
    <xf numFmtId="0" fontId="78" fillId="0" borderId="51" xfId="0" applyFont="1" applyFill="1" applyBorder="1" applyAlignment="1" applyProtection="1">
      <alignment horizontal="center" vertical="center" wrapText="1"/>
      <protection locked="0"/>
    </xf>
    <xf numFmtId="167" fontId="11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51" xfId="0" applyFill="1" applyBorder="1" applyAlignment="1" applyProtection="1">
      <alignment horizontal="center" vertical="center"/>
      <protection locked="0"/>
    </xf>
    <xf numFmtId="0" fontId="0" fillId="0" borderId="77" xfId="0" applyFill="1" applyBorder="1" applyAlignment="1" applyProtection="1">
      <alignment horizontal="center" vertical="center"/>
      <protection locked="0"/>
    </xf>
    <xf numFmtId="0" fontId="112" fillId="0" borderId="53" xfId="0" quotePrefix="1" applyNumberFormat="1" applyFont="1" applyFill="1" applyBorder="1" applyAlignment="1" applyProtection="1">
      <alignment horizontal="center" vertical="center" wrapText="1"/>
      <protection locked="0"/>
    </xf>
    <xf numFmtId="0" fontId="97" fillId="0" borderId="51" xfId="0" applyFont="1" applyFill="1" applyBorder="1" applyAlignment="1" applyProtection="1">
      <alignment horizontal="center" vertical="center" wrapText="1" shrinkToFit="1"/>
      <protection locked="0"/>
    </xf>
    <xf numFmtId="0" fontId="68" fillId="0" borderId="51" xfId="0" applyFont="1" applyFill="1" applyBorder="1" applyAlignment="1" applyProtection="1">
      <alignment vertical="center" wrapText="1"/>
      <protection locked="0"/>
    </xf>
    <xf numFmtId="49" fontId="80" fillId="39" borderId="110" xfId="0" applyNumberFormat="1" applyFont="1" applyFill="1" applyBorder="1" applyAlignment="1" applyProtection="1">
      <alignment horizontal="center" vertical="center" wrapText="1"/>
      <protection locked="0"/>
    </xf>
    <xf numFmtId="0" fontId="45" fillId="40" borderId="49" xfId="0" applyFont="1" applyFill="1" applyBorder="1" applyAlignment="1" applyProtection="1">
      <alignment vertical="center"/>
      <protection locked="0"/>
    </xf>
    <xf numFmtId="49" fontId="80" fillId="40" borderId="110" xfId="0" applyNumberFormat="1" applyFont="1" applyFill="1" applyBorder="1" applyAlignment="1" applyProtection="1">
      <alignment horizontal="center" vertical="center" wrapText="1"/>
      <protection locked="0"/>
    </xf>
    <xf numFmtId="0" fontId="45" fillId="40" borderId="51" xfId="0" applyFont="1" applyFill="1" applyBorder="1" applyAlignment="1" applyProtection="1">
      <alignment vertical="center"/>
      <protection locked="0"/>
    </xf>
    <xf numFmtId="0" fontId="45" fillId="42" borderId="93" xfId="0" applyFont="1" applyFill="1" applyBorder="1" applyAlignment="1" applyProtection="1">
      <alignment vertical="center"/>
      <protection locked="0"/>
    </xf>
    <xf numFmtId="0" fontId="45" fillId="42" borderId="77" xfId="0" applyFont="1" applyFill="1" applyBorder="1" applyAlignment="1" applyProtection="1">
      <alignment vertical="center"/>
      <protection locked="0"/>
    </xf>
    <xf numFmtId="49" fontId="80" fillId="44" borderId="110" xfId="0" applyNumberFormat="1" applyFont="1" applyFill="1" applyBorder="1" applyAlignment="1" applyProtection="1">
      <alignment horizontal="center" vertical="center" wrapText="1"/>
      <protection locked="0"/>
    </xf>
    <xf numFmtId="0" fontId="77" fillId="0" borderId="51" xfId="0" applyFont="1" applyFill="1" applyBorder="1" applyAlignment="1" applyProtection="1">
      <alignment horizontal="center" vertical="center" wrapText="1" shrinkToFit="1"/>
      <protection locked="0"/>
    </xf>
    <xf numFmtId="0" fontId="115" fillId="0" borderId="51" xfId="0" applyFont="1" applyFill="1" applyBorder="1" applyAlignment="1" applyProtection="1">
      <alignment horizontal="center" vertical="center" wrapText="1" shrinkToFit="1"/>
      <protection locked="0"/>
    </xf>
    <xf numFmtId="0" fontId="78" fillId="26" borderId="75" xfId="0" applyFont="1" applyFill="1" applyBorder="1" applyAlignment="1" applyProtection="1">
      <alignment horizontal="center" vertical="center" wrapText="1"/>
    </xf>
    <xf numFmtId="165" fontId="16" fillId="13" borderId="11" xfId="0" applyNumberFormat="1" applyFont="1" applyFill="1" applyBorder="1" applyAlignment="1" applyProtection="1">
      <alignment horizontal="center" vertical="center"/>
      <protection locked="0"/>
    </xf>
    <xf numFmtId="165" fontId="16" fillId="0" borderId="11" xfId="0" applyNumberFormat="1" applyFont="1" applyFill="1" applyBorder="1" applyAlignment="1" applyProtection="1">
      <alignment horizontal="center" vertical="center"/>
      <protection locked="0"/>
    </xf>
    <xf numFmtId="173" fontId="108" fillId="0" borderId="54" xfId="0" applyNumberFormat="1" applyFont="1" applyFill="1" applyBorder="1" applyAlignment="1">
      <alignment horizontal="center"/>
    </xf>
    <xf numFmtId="173" fontId="108" fillId="0" borderId="88" xfId="0" applyNumberFormat="1" applyFont="1" applyFill="1" applyBorder="1" applyAlignment="1">
      <alignment horizontal="center"/>
    </xf>
    <xf numFmtId="173" fontId="108" fillId="0" borderId="2" xfId="0" applyNumberFormat="1" applyFont="1" applyFill="1" applyBorder="1" applyAlignment="1">
      <alignment horizontal="center"/>
    </xf>
    <xf numFmtId="173" fontId="108" fillId="0" borderId="89" xfId="0" applyNumberFormat="1" applyFont="1" applyFill="1" applyBorder="1" applyAlignment="1">
      <alignment horizontal="center"/>
    </xf>
    <xf numFmtId="173" fontId="58" fillId="0" borderId="54" xfId="0" applyNumberFormat="1" applyFont="1" applyFill="1" applyBorder="1" applyAlignment="1">
      <alignment horizontal="center"/>
    </xf>
    <xf numFmtId="173" fontId="70" fillId="0" borderId="54" xfId="0" applyNumberFormat="1" applyFont="1" applyFill="1" applyBorder="1" applyAlignment="1">
      <alignment horizontal="center"/>
    </xf>
    <xf numFmtId="173" fontId="83" fillId="26" borderId="54" xfId="0" applyNumberFormat="1" applyFont="1" applyFill="1" applyBorder="1" applyAlignment="1">
      <alignment horizontal="center"/>
    </xf>
    <xf numFmtId="173" fontId="34" fillId="0" borderId="54" xfId="0" applyNumberFormat="1" applyFont="1" applyFill="1" applyBorder="1" applyAlignment="1">
      <alignment horizontal="center"/>
    </xf>
    <xf numFmtId="173" fontId="0" fillId="3" borderId="0" xfId="0" applyNumberFormat="1" applyFill="1" applyBorder="1"/>
    <xf numFmtId="173" fontId="6" fillId="0" borderId="0" xfId="0" applyNumberFormat="1" applyFont="1" applyFill="1" applyBorder="1" applyAlignment="1">
      <alignment horizontal="center"/>
    </xf>
    <xf numFmtId="173" fontId="7" fillId="0" borderId="0" xfId="0" applyNumberFormat="1" applyFont="1" applyFill="1" applyBorder="1" applyAlignment="1">
      <alignment horizontal="center"/>
    </xf>
    <xf numFmtId="173" fontId="8" fillId="0" borderId="0" xfId="0" applyNumberFormat="1" applyFont="1" applyFill="1" applyBorder="1" applyAlignment="1">
      <alignment horizontal="center"/>
    </xf>
    <xf numFmtId="173" fontId="9" fillId="0" borderId="0" xfId="0" applyNumberFormat="1" applyFont="1" applyFill="1" applyBorder="1" applyAlignment="1">
      <alignment horizontal="center"/>
    </xf>
    <xf numFmtId="173" fontId="10" fillId="0" borderId="0" xfId="0" applyNumberFormat="1" applyFont="1" applyFill="1" applyBorder="1" applyAlignment="1">
      <alignment horizontal="center"/>
    </xf>
    <xf numFmtId="173" fontId="11" fillId="0" borderId="0" xfId="0" applyNumberFormat="1" applyFont="1" applyFill="1" applyBorder="1" applyAlignment="1">
      <alignment horizontal="center"/>
    </xf>
    <xf numFmtId="173" fontId="12" fillId="0" borderId="0" xfId="0" applyNumberFormat="1" applyFont="1" applyFill="1" applyBorder="1" applyAlignment="1">
      <alignment horizontal="center"/>
    </xf>
    <xf numFmtId="173" fontId="13" fillId="0" borderId="0" xfId="0" applyNumberFormat="1" applyFont="1" applyFill="1" applyBorder="1" applyAlignment="1">
      <alignment horizontal="center"/>
    </xf>
    <xf numFmtId="173" fontId="14" fillId="0" borderId="0" xfId="0" applyNumberFormat="1" applyFont="1" applyFill="1" applyBorder="1" applyAlignment="1">
      <alignment horizontal="center"/>
    </xf>
    <xf numFmtId="173" fontId="15" fillId="0" borderId="0" xfId="0" applyNumberFormat="1" applyFont="1" applyFill="1" applyBorder="1" applyAlignment="1">
      <alignment horizontal="center"/>
    </xf>
    <xf numFmtId="173" fontId="17" fillId="0" borderId="0" xfId="0" applyNumberFormat="1" applyFont="1" applyFill="1" applyBorder="1" applyAlignment="1">
      <alignment horizontal="center"/>
    </xf>
    <xf numFmtId="0" fontId="84" fillId="0" borderId="53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12" borderId="8" xfId="0" applyFill="1" applyBorder="1" applyAlignment="1" applyProtection="1">
      <alignment horizontal="center" vertical="center"/>
    </xf>
    <xf numFmtId="164" fontId="36" fillId="0" borderId="24" xfId="0" applyNumberFormat="1" applyFont="1" applyFill="1" applyBorder="1" applyAlignment="1">
      <alignment horizontal="center" vertical="center"/>
    </xf>
    <xf numFmtId="164" fontId="36" fillId="0" borderId="25" xfId="0" applyNumberFormat="1" applyFont="1" applyFill="1" applyBorder="1" applyAlignment="1">
      <alignment horizontal="center" vertical="center"/>
    </xf>
    <xf numFmtId="0" fontId="59" fillId="0" borderId="53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 applyProtection="1">
      <alignment vertical="center"/>
    </xf>
    <xf numFmtId="0" fontId="0" fillId="6" borderId="0" xfId="0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23" borderId="12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109" fillId="3" borderId="13" xfId="0" applyFont="1" applyFill="1" applyBorder="1" applyAlignment="1" applyProtection="1">
      <alignment horizontal="center" vertical="center"/>
    </xf>
    <xf numFmtId="0" fontId="109" fillId="3" borderId="12" xfId="0" applyFont="1" applyFill="1" applyBorder="1" applyAlignment="1" applyProtection="1">
      <alignment horizontal="center" vertical="center"/>
    </xf>
    <xf numFmtId="0" fontId="17" fillId="3" borderId="33" xfId="0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164" fontId="17" fillId="0" borderId="32" xfId="0" applyNumberFormat="1" applyFont="1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 applyProtection="1">
      <alignment vertical="center"/>
    </xf>
    <xf numFmtId="0" fontId="79" fillId="0" borderId="13" xfId="0" applyFont="1" applyFill="1" applyBorder="1" applyAlignment="1" applyProtection="1">
      <alignment horizontal="center" vertical="center"/>
      <protection locked="0"/>
    </xf>
    <xf numFmtId="0" fontId="77" fillId="0" borderId="13" xfId="0" applyFont="1" applyFill="1" applyBorder="1" applyAlignment="1" applyProtection="1">
      <alignment horizontal="center" vertical="center"/>
      <protection locked="0"/>
    </xf>
    <xf numFmtId="1" fontId="77" fillId="0" borderId="13" xfId="0" applyNumberFormat="1" applyFont="1" applyFill="1" applyBorder="1" applyAlignment="1" applyProtection="1">
      <alignment horizontal="center" vertical="center"/>
      <protection locked="0"/>
    </xf>
    <xf numFmtId="164" fontId="17" fillId="3" borderId="32" xfId="0" applyNumberFormat="1" applyFont="1" applyFill="1" applyBorder="1" applyAlignment="1" applyProtection="1">
      <alignment horizontal="center" vertical="center"/>
    </xf>
    <xf numFmtId="164" fontId="17" fillId="3" borderId="33" xfId="0" applyNumberFormat="1" applyFont="1" applyFill="1" applyBorder="1" applyAlignment="1" applyProtection="1">
      <alignment horizontal="center" vertical="center"/>
    </xf>
    <xf numFmtId="164" fontId="17" fillId="3" borderId="35" xfId="0" applyNumberFormat="1" applyFont="1" applyFill="1" applyBorder="1" applyAlignment="1" applyProtection="1">
      <alignment horizontal="center" vertical="center"/>
    </xf>
    <xf numFmtId="1" fontId="79" fillId="0" borderId="13" xfId="0" applyNumberFormat="1" applyFont="1" applyFill="1" applyBorder="1" applyAlignment="1" applyProtection="1">
      <alignment horizontal="center" vertical="center"/>
      <protection locked="0"/>
    </xf>
    <xf numFmtId="167" fontId="109" fillId="0" borderId="13" xfId="0" applyNumberFormat="1" applyFont="1" applyFill="1" applyBorder="1" applyAlignment="1" applyProtection="1">
      <alignment horizontal="center" vertical="center"/>
      <protection locked="0"/>
    </xf>
    <xf numFmtId="167" fontId="109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vertical="center"/>
    </xf>
    <xf numFmtId="164" fontId="19" fillId="3" borderId="0" xfId="0" applyNumberFormat="1" applyFont="1" applyFill="1" applyBorder="1" applyAlignment="1" applyProtection="1">
      <alignment vertical="center"/>
    </xf>
    <xf numFmtId="0" fontId="19" fillId="3" borderId="0" xfId="0" applyFont="1" applyFill="1" applyAlignment="1" applyProtection="1">
      <alignment vertical="center"/>
    </xf>
    <xf numFmtId="0" fontId="6" fillId="3" borderId="0" xfId="0" applyFont="1" applyFill="1" applyAlignment="1" applyProtection="1">
      <alignment horizontal="center" vertical="center"/>
    </xf>
    <xf numFmtId="0" fontId="6" fillId="3" borderId="0" xfId="0" applyFont="1" applyFill="1" applyAlignment="1" applyProtection="1">
      <alignment vertical="center"/>
    </xf>
    <xf numFmtId="0" fontId="0" fillId="23" borderId="0" xfId="0" applyFill="1" applyAlignment="1" applyProtection="1">
      <alignment vertical="center"/>
    </xf>
    <xf numFmtId="0" fontId="0" fillId="3" borderId="1" xfId="0" applyFill="1" applyBorder="1" applyAlignment="1" applyProtection="1">
      <alignment horizontal="center" vertical="center"/>
    </xf>
    <xf numFmtId="1" fontId="0" fillId="3" borderId="2" xfId="0" applyNumberFormat="1" applyFill="1" applyBorder="1" applyAlignment="1" applyProtection="1">
      <alignment horizontal="center" vertical="center"/>
    </xf>
    <xf numFmtId="1" fontId="0" fillId="3" borderId="4" xfId="0" applyNumberFormat="1" applyFill="1" applyBorder="1" applyAlignment="1" applyProtection="1">
      <alignment horizontal="center" vertical="center"/>
    </xf>
    <xf numFmtId="0" fontId="19" fillId="3" borderId="17" xfId="0" applyFont="1" applyFill="1" applyBorder="1" applyAlignment="1" applyProtection="1">
      <alignment horizontal="right" vertical="center"/>
    </xf>
    <xf numFmtId="164" fontId="6" fillId="3" borderId="19" xfId="0" applyNumberFormat="1" applyFont="1" applyFill="1" applyBorder="1" applyAlignment="1" applyProtection="1">
      <alignment vertical="center"/>
    </xf>
    <xf numFmtId="0" fontId="6" fillId="3" borderId="20" xfId="0" applyFont="1" applyFill="1" applyBorder="1" applyAlignment="1" applyProtection="1">
      <alignment vertical="center"/>
    </xf>
    <xf numFmtId="0" fontId="6" fillId="3" borderId="14" xfId="0" applyFont="1" applyFill="1" applyBorder="1" applyAlignment="1" applyProtection="1">
      <alignment horizontal="left" vertical="center"/>
    </xf>
    <xf numFmtId="0" fontId="0" fillId="3" borderId="15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horizontal="center" vertical="center"/>
    </xf>
    <xf numFmtId="164" fontId="6" fillId="3" borderId="21" xfId="0" applyNumberFormat="1" applyFont="1" applyFill="1" applyBorder="1" applyAlignment="1" applyProtection="1">
      <alignment vertical="center"/>
    </xf>
    <xf numFmtId="0" fontId="6" fillId="3" borderId="22" xfId="0" applyFont="1" applyFill="1" applyBorder="1" applyAlignment="1" applyProtection="1">
      <alignment vertical="center"/>
    </xf>
    <xf numFmtId="0" fontId="0" fillId="3" borderId="13" xfId="0" applyFill="1" applyBorder="1" applyAlignment="1" applyProtection="1">
      <alignment horizontal="center" vertical="center"/>
    </xf>
    <xf numFmtId="164" fontId="0" fillId="3" borderId="13" xfId="0" applyNumberFormat="1" applyFill="1" applyBorder="1" applyAlignment="1" applyProtection="1">
      <alignment horizontal="center" vertical="center"/>
    </xf>
    <xf numFmtId="164" fontId="0" fillId="3" borderId="12" xfId="0" applyNumberFormat="1" applyFill="1" applyBorder="1" applyAlignment="1" applyProtection="1">
      <alignment horizontal="center" vertical="center"/>
    </xf>
    <xf numFmtId="164" fontId="6" fillId="3" borderId="14" xfId="0" applyNumberFormat="1" applyFont="1" applyFill="1" applyBorder="1" applyAlignment="1" applyProtection="1">
      <alignment vertical="center"/>
    </xf>
    <xf numFmtId="0" fontId="6" fillId="3" borderId="23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horizontal="center" vertical="center"/>
    </xf>
    <xf numFmtId="164" fontId="6" fillId="3" borderId="0" xfId="0" applyNumberFormat="1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/>
    </xf>
    <xf numFmtId="0" fontId="17" fillId="5" borderId="12" xfId="0" applyFont="1" applyFill="1" applyBorder="1" applyAlignment="1" applyProtection="1">
      <alignment horizontal="center" vertical="center"/>
    </xf>
    <xf numFmtId="0" fontId="26" fillId="5" borderId="13" xfId="0" applyFont="1" applyFill="1" applyBorder="1" applyAlignment="1" applyProtection="1">
      <alignment horizontal="center" vertical="center"/>
    </xf>
    <xf numFmtId="0" fontId="26" fillId="5" borderId="12" xfId="0" applyFont="1" applyFill="1" applyBorder="1" applyAlignment="1" applyProtection="1">
      <alignment horizontal="center" vertical="center"/>
    </xf>
    <xf numFmtId="0" fontId="26" fillId="5" borderId="16" xfId="0" applyFont="1" applyFill="1" applyBorder="1" applyAlignment="1" applyProtection="1">
      <alignment horizontal="center" vertical="center"/>
    </xf>
    <xf numFmtId="20" fontId="0" fillId="5" borderId="12" xfId="0" applyNumberFormat="1" applyFill="1" applyBorder="1" applyAlignment="1" applyProtection="1">
      <alignment horizontal="center" vertical="center"/>
    </xf>
    <xf numFmtId="0" fontId="17" fillId="5" borderId="32" xfId="0" applyFont="1" applyFill="1" applyBorder="1" applyAlignment="1" applyProtection="1">
      <alignment horizontal="center" vertical="center"/>
    </xf>
    <xf numFmtId="0" fontId="17" fillId="5" borderId="33" xfId="0" applyFont="1" applyFill="1" applyBorder="1" applyAlignment="1" applyProtection="1">
      <alignment horizontal="center" vertical="center"/>
    </xf>
    <xf numFmtId="164" fontId="17" fillId="5" borderId="32" xfId="0" applyNumberFormat="1" applyFont="1" applyFill="1" applyBorder="1" applyAlignment="1" applyProtection="1">
      <alignment horizontal="center" vertical="center"/>
    </xf>
    <xf numFmtId="164" fontId="17" fillId="5" borderId="33" xfId="0" applyNumberFormat="1" applyFont="1" applyFill="1" applyBorder="1" applyAlignment="1" applyProtection="1">
      <alignment horizontal="center" vertical="center"/>
    </xf>
    <xf numFmtId="0" fontId="17" fillId="5" borderId="34" xfId="0" applyFont="1" applyFill="1" applyBorder="1" applyAlignment="1" applyProtection="1">
      <alignment horizontal="center" vertical="center"/>
    </xf>
    <xf numFmtId="164" fontId="17" fillId="5" borderId="35" xfId="0" applyNumberFormat="1" applyFont="1" applyFill="1" applyBorder="1" applyAlignment="1" applyProtection="1">
      <alignment horizontal="center" vertical="center"/>
    </xf>
    <xf numFmtId="0" fontId="10" fillId="6" borderId="0" xfId="0" applyFont="1" applyFill="1" applyAlignment="1" applyProtection="1">
      <alignment vertical="center"/>
    </xf>
    <xf numFmtId="0" fontId="10" fillId="0" borderId="0" xfId="0" applyFont="1" applyAlignment="1">
      <alignment vertical="center"/>
    </xf>
    <xf numFmtId="20" fontId="0" fillId="20" borderId="16" xfId="0" applyNumberForma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/>
    </xf>
    <xf numFmtId="164" fontId="19" fillId="5" borderId="0" xfId="0" applyNumberFormat="1" applyFont="1" applyFill="1" applyBorder="1" applyAlignment="1" applyProtection="1">
      <alignment vertical="center"/>
    </xf>
    <xf numFmtId="0" fontId="19" fillId="5" borderId="0" xfId="0" applyFont="1" applyFill="1" applyAlignment="1" applyProtection="1">
      <alignment vertical="center"/>
    </xf>
    <xf numFmtId="0" fontId="6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vertical="center"/>
    </xf>
    <xf numFmtId="20" fontId="0" fillId="5" borderId="1" xfId="0" applyNumberFormat="1" applyFill="1" applyBorder="1" applyAlignment="1" applyProtection="1">
      <alignment horizontal="center" vertical="center"/>
    </xf>
    <xf numFmtId="1" fontId="0" fillId="5" borderId="2" xfId="0" applyNumberFormat="1" applyFill="1" applyBorder="1" applyAlignment="1" applyProtection="1">
      <alignment horizontal="center" vertical="center"/>
    </xf>
    <xf numFmtId="1" fontId="0" fillId="5" borderId="4" xfId="0" applyNumberFormat="1" applyFill="1" applyBorder="1" applyAlignment="1" applyProtection="1">
      <alignment horizontal="center" vertical="center"/>
    </xf>
    <xf numFmtId="1" fontId="0" fillId="5" borderId="10" xfId="0" applyNumberFormat="1" applyFill="1" applyBorder="1" applyAlignment="1" applyProtection="1">
      <alignment horizontal="center" vertical="center"/>
    </xf>
    <xf numFmtId="0" fontId="19" fillId="5" borderId="17" xfId="0" applyFont="1" applyFill="1" applyBorder="1" applyAlignment="1" applyProtection="1">
      <alignment horizontal="right" vertical="center"/>
    </xf>
    <xf numFmtId="164" fontId="6" fillId="5" borderId="19" xfId="0" applyNumberFormat="1" applyFont="1" applyFill="1" applyBorder="1" applyAlignment="1" applyProtection="1">
      <alignment vertical="center"/>
    </xf>
    <xf numFmtId="0" fontId="6" fillId="5" borderId="20" xfId="0" applyFont="1" applyFill="1" applyBorder="1" applyAlignment="1" applyProtection="1">
      <alignment vertical="center"/>
    </xf>
    <xf numFmtId="0" fontId="6" fillId="5" borderId="14" xfId="0" applyFont="1" applyFill="1" applyBorder="1" applyAlignment="1" applyProtection="1">
      <alignment horizontal="left" vertical="center"/>
    </xf>
    <xf numFmtId="0" fontId="0" fillId="5" borderId="15" xfId="0" applyFill="1" applyBorder="1" applyAlignment="1" applyProtection="1">
      <alignment vertical="center"/>
    </xf>
    <xf numFmtId="20" fontId="0" fillId="5" borderId="5" xfId="0" applyNumberFormat="1" applyFill="1" applyBorder="1" applyAlignment="1" applyProtection="1">
      <alignment horizontal="center" vertical="center"/>
    </xf>
    <xf numFmtId="164" fontId="6" fillId="5" borderId="21" xfId="0" applyNumberFormat="1" applyFont="1" applyFill="1" applyBorder="1" applyAlignment="1" applyProtection="1">
      <alignment vertical="center"/>
    </xf>
    <xf numFmtId="0" fontId="6" fillId="5" borderId="22" xfId="0" applyFont="1" applyFill="1" applyBorder="1" applyAlignment="1" applyProtection="1">
      <alignment vertical="center"/>
    </xf>
    <xf numFmtId="164" fontId="0" fillId="5" borderId="13" xfId="0" applyNumberFormat="1" applyFill="1" applyBorder="1" applyAlignment="1" applyProtection="1">
      <alignment horizontal="center" vertical="center"/>
    </xf>
    <xf numFmtId="164" fontId="0" fillId="5" borderId="12" xfId="0" applyNumberFormat="1" applyFill="1" applyBorder="1" applyAlignment="1" applyProtection="1">
      <alignment horizontal="center" vertical="center"/>
    </xf>
    <xf numFmtId="164" fontId="0" fillId="5" borderId="16" xfId="0" applyNumberFormat="1" applyFill="1" applyBorder="1" applyAlignment="1" applyProtection="1">
      <alignment horizontal="center" vertical="center"/>
    </xf>
    <xf numFmtId="164" fontId="51" fillId="5" borderId="0" xfId="0" applyNumberFormat="1" applyFont="1" applyFill="1" applyAlignment="1" applyProtection="1">
      <alignment horizontal="center" vertical="center"/>
    </xf>
    <xf numFmtId="164" fontId="6" fillId="5" borderId="14" xfId="0" applyNumberFormat="1" applyFont="1" applyFill="1" applyBorder="1" applyAlignment="1" applyProtection="1">
      <alignment vertical="center"/>
    </xf>
    <xf numFmtId="0" fontId="6" fillId="5" borderId="23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0" fillId="5" borderId="0" xfId="0" applyFont="1" applyFill="1" applyAlignment="1" applyProtection="1">
      <alignment horizontal="center" vertical="center"/>
    </xf>
    <xf numFmtId="0" fontId="30" fillId="20" borderId="0" xfId="0" applyFont="1" applyFill="1" applyAlignment="1" applyProtection="1">
      <alignment horizontal="center" vertical="center"/>
    </xf>
    <xf numFmtId="164" fontId="6" fillId="5" borderId="0" xfId="0" applyNumberFormat="1" applyFont="1" applyFill="1" applyBorder="1" applyAlignment="1" applyProtection="1">
      <alignment vertical="center"/>
    </xf>
    <xf numFmtId="0" fontId="6" fillId="5" borderId="0" xfId="0" applyFont="1" applyFill="1" applyBorder="1" applyAlignment="1" applyProtection="1">
      <alignment vertical="center"/>
    </xf>
    <xf numFmtId="0" fontId="0" fillId="5" borderId="0" xfId="0" applyFill="1" applyAlignment="1">
      <alignment vertical="center"/>
    </xf>
    <xf numFmtId="0" fontId="50" fillId="4" borderId="12" xfId="0" applyFont="1" applyFill="1" applyBorder="1" applyAlignment="1" applyProtection="1">
      <alignment horizontal="center" vertical="center"/>
    </xf>
    <xf numFmtId="0" fontId="27" fillId="4" borderId="13" xfId="0" applyFont="1" applyFill="1" applyBorder="1" applyAlignment="1" applyProtection="1">
      <alignment horizontal="center" vertical="center"/>
    </xf>
    <xf numFmtId="0" fontId="27" fillId="4" borderId="12" xfId="0" applyFont="1" applyFill="1" applyBorder="1" applyAlignment="1" applyProtection="1">
      <alignment horizontal="center" vertical="center"/>
    </xf>
    <xf numFmtId="20" fontId="0" fillId="4" borderId="12" xfId="0" applyNumberFormat="1" applyFill="1" applyBorder="1" applyAlignment="1" applyProtection="1">
      <alignment horizontal="center" vertical="center"/>
    </xf>
    <xf numFmtId="0" fontId="110" fillId="4" borderId="13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7" xfId="0" applyFont="1" applyFill="1" applyBorder="1" applyAlignment="1" applyProtection="1">
      <alignment horizontal="center" vertical="center"/>
    </xf>
    <xf numFmtId="0" fontId="17" fillId="4" borderId="32" xfId="0" applyFont="1" applyFill="1" applyBorder="1" applyAlignment="1" applyProtection="1">
      <alignment horizontal="center" vertical="center"/>
    </xf>
    <xf numFmtId="0" fontId="17" fillId="4" borderId="33" xfId="0" applyFont="1" applyFill="1" applyBorder="1" applyAlignment="1" applyProtection="1">
      <alignment horizontal="center" vertical="center"/>
    </xf>
    <xf numFmtId="164" fontId="17" fillId="4" borderId="32" xfId="0" applyNumberFormat="1" applyFont="1" applyFill="1" applyBorder="1" applyAlignment="1" applyProtection="1">
      <alignment horizontal="center" vertical="center"/>
    </xf>
    <xf numFmtId="164" fontId="17" fillId="4" borderId="33" xfId="0" applyNumberFormat="1" applyFont="1" applyFill="1" applyBorder="1" applyAlignment="1" applyProtection="1">
      <alignment horizontal="center" vertical="center"/>
    </xf>
    <xf numFmtId="0" fontId="17" fillId="4" borderId="34" xfId="0" applyFont="1" applyFill="1" applyBorder="1" applyAlignment="1" applyProtection="1">
      <alignment horizontal="center" vertical="center"/>
    </xf>
    <xf numFmtId="164" fontId="17" fillId="4" borderId="35" xfId="0" applyNumberFormat="1" applyFont="1" applyFill="1" applyBorder="1" applyAlignment="1" applyProtection="1">
      <alignment horizontal="center" vertical="center"/>
    </xf>
    <xf numFmtId="20" fontId="0" fillId="4" borderId="106" xfId="0" applyNumberFormat="1" applyFill="1" applyBorder="1" applyAlignment="1" applyProtection="1">
      <alignment horizontal="center" vertical="center"/>
    </xf>
    <xf numFmtId="167" fontId="87" fillId="0" borderId="13" xfId="0" applyNumberFormat="1" applyFont="1" applyFill="1" applyBorder="1" applyAlignment="1" applyProtection="1">
      <alignment horizontal="center" vertical="center"/>
      <protection locked="0"/>
    </xf>
    <xf numFmtId="167" fontId="87" fillId="0" borderId="12" xfId="0" applyNumberFormat="1" applyFont="1" applyFill="1" applyBorder="1" applyAlignment="1" applyProtection="1">
      <alignment horizontal="center" vertical="center"/>
      <protection locked="0"/>
    </xf>
    <xf numFmtId="167" fontId="110" fillId="0" borderId="12" xfId="0" applyNumberFormat="1" applyFont="1" applyFill="1" applyBorder="1" applyAlignment="1" applyProtection="1">
      <alignment horizontal="center" vertical="center"/>
      <protection locked="0"/>
    </xf>
    <xf numFmtId="167" fontId="110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vertical="center"/>
    </xf>
    <xf numFmtId="164" fontId="19" fillId="4" borderId="0" xfId="0" applyNumberFormat="1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vertical="center"/>
    </xf>
    <xf numFmtId="0" fontId="6" fillId="4" borderId="0" xfId="0" applyFont="1" applyFill="1" applyAlignment="1" applyProtection="1">
      <alignment horizontal="center" vertical="center"/>
    </xf>
    <xf numFmtId="0" fontId="6" fillId="4" borderId="0" xfId="0" applyFont="1" applyFill="1" applyAlignment="1" applyProtection="1">
      <alignment vertical="center"/>
    </xf>
    <xf numFmtId="20" fontId="0" fillId="4" borderId="1" xfId="0" applyNumberForma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19" fillId="4" borderId="17" xfId="0" applyFont="1" applyFill="1" applyBorder="1" applyAlignment="1" applyProtection="1">
      <alignment horizontal="right" vertical="center"/>
    </xf>
    <xf numFmtId="164" fontId="6" fillId="4" borderId="19" xfId="0" applyNumberFormat="1" applyFont="1" applyFill="1" applyBorder="1" applyAlignment="1" applyProtection="1">
      <alignment vertical="center"/>
    </xf>
    <xf numFmtId="0" fontId="6" fillId="4" borderId="20" xfId="0" applyFont="1" applyFill="1" applyBorder="1" applyAlignment="1" applyProtection="1">
      <alignment vertical="center"/>
    </xf>
    <xf numFmtId="0" fontId="6" fillId="4" borderId="14" xfId="0" applyFont="1" applyFill="1" applyBorder="1" applyAlignment="1" applyProtection="1">
      <alignment horizontal="left" vertical="center"/>
    </xf>
    <xf numFmtId="0" fontId="0" fillId="4" borderId="15" xfId="0" applyFill="1" applyBorder="1" applyAlignment="1" applyProtection="1">
      <alignment vertical="center"/>
    </xf>
    <xf numFmtId="20" fontId="0" fillId="4" borderId="5" xfId="0" applyNumberFormat="1" applyFill="1" applyBorder="1" applyAlignment="1" applyProtection="1">
      <alignment horizontal="center" vertical="center"/>
    </xf>
    <xf numFmtId="164" fontId="6" fillId="4" borderId="21" xfId="0" applyNumberFormat="1" applyFont="1" applyFill="1" applyBorder="1" applyAlignment="1" applyProtection="1">
      <alignment vertical="center"/>
    </xf>
    <xf numFmtId="0" fontId="6" fillId="4" borderId="22" xfId="0" applyFont="1" applyFill="1" applyBorder="1" applyAlignment="1" applyProtection="1">
      <alignment vertical="center"/>
    </xf>
    <xf numFmtId="164" fontId="0" fillId="4" borderId="13" xfId="0" applyNumberFormat="1" applyFill="1" applyBorder="1" applyAlignment="1" applyProtection="1">
      <alignment horizontal="center" vertical="center"/>
    </xf>
    <xf numFmtId="164" fontId="0" fillId="4" borderId="12" xfId="0" applyNumberFormat="1" applyFill="1" applyBorder="1" applyAlignment="1" applyProtection="1">
      <alignment horizontal="center" vertical="center"/>
    </xf>
    <xf numFmtId="164" fontId="51" fillId="4" borderId="0" xfId="0" applyNumberFormat="1" applyFont="1" applyFill="1" applyAlignment="1" applyProtection="1">
      <alignment horizontal="center" vertical="center"/>
    </xf>
    <xf numFmtId="164" fontId="6" fillId="4" borderId="14" xfId="0" applyNumberFormat="1" applyFont="1" applyFill="1" applyBorder="1" applyAlignment="1" applyProtection="1">
      <alignment vertical="center"/>
    </xf>
    <xf numFmtId="0" fontId="6" fillId="4" borderId="23" xfId="0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horizontal="center" vertical="center"/>
    </xf>
    <xf numFmtId="0" fontId="31" fillId="21" borderId="0" xfId="0" applyFont="1" applyFill="1" applyAlignment="1" applyProtection="1">
      <alignment horizontal="center" vertical="center"/>
    </xf>
    <xf numFmtId="0" fontId="31" fillId="4" borderId="0" xfId="0" applyFont="1" applyFill="1" applyAlignment="1" applyProtection="1">
      <alignment horizontal="center" vertical="center"/>
    </xf>
    <xf numFmtId="0" fontId="31" fillId="4" borderId="106" xfId="0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/>
    </xf>
    <xf numFmtId="0" fontId="0" fillId="4" borderId="0" xfId="0" applyFill="1" applyAlignment="1">
      <alignment vertical="center"/>
    </xf>
    <xf numFmtId="0" fontId="13" fillId="2" borderId="12" xfId="0" applyFont="1" applyFill="1" applyBorder="1" applyAlignment="1" applyProtection="1">
      <alignment horizontal="center" vertical="center"/>
    </xf>
    <xf numFmtId="0" fontId="25" fillId="2" borderId="13" xfId="0" applyFont="1" applyFill="1" applyBorder="1" applyAlignment="1" applyProtection="1">
      <alignment horizontal="center" vertical="center"/>
    </xf>
    <xf numFmtId="20" fontId="0" fillId="2" borderId="12" xfId="0" applyNumberFormat="1" applyFill="1" applyBorder="1" applyAlignment="1" applyProtection="1">
      <alignment horizontal="center" vertical="center"/>
    </xf>
    <xf numFmtId="0" fontId="17" fillId="2" borderId="32" xfId="0" applyFont="1" applyFill="1" applyBorder="1" applyAlignment="1" applyProtection="1">
      <alignment horizontal="center" vertical="center"/>
    </xf>
    <xf numFmtId="0" fontId="17" fillId="2" borderId="33" xfId="0" applyFont="1" applyFill="1" applyBorder="1" applyAlignment="1" applyProtection="1">
      <alignment horizontal="center" vertical="center"/>
    </xf>
    <xf numFmtId="164" fontId="17" fillId="2" borderId="32" xfId="0" applyNumberFormat="1" applyFont="1" applyFill="1" applyBorder="1" applyAlignment="1" applyProtection="1">
      <alignment horizontal="center" vertical="center"/>
    </xf>
    <xf numFmtId="164" fontId="17" fillId="2" borderId="33" xfId="0" applyNumberFormat="1" applyFont="1" applyFill="1" applyBorder="1" applyAlignment="1" applyProtection="1">
      <alignment horizontal="center" vertical="center"/>
    </xf>
    <xf numFmtId="0" fontId="17" fillId="2" borderId="34" xfId="0" applyFont="1" applyFill="1" applyBorder="1" applyAlignment="1" applyProtection="1">
      <alignment horizontal="center" vertical="center"/>
    </xf>
    <xf numFmtId="164" fontId="17" fillId="2" borderId="35" xfId="0" applyNumberFormat="1" applyFont="1" applyFill="1" applyBorder="1" applyAlignment="1" applyProtection="1">
      <alignment horizontal="center" vertical="center"/>
    </xf>
    <xf numFmtId="20" fontId="0" fillId="2" borderId="16" xfId="0" applyNumberFormat="1" applyFill="1" applyBorder="1" applyAlignment="1" applyProtection="1">
      <alignment horizontal="center" vertical="center"/>
    </xf>
    <xf numFmtId="167" fontId="96" fillId="0" borderId="13" xfId="0" applyNumberFormat="1" applyFont="1" applyFill="1" applyBorder="1" applyAlignment="1" applyProtection="1">
      <alignment horizontal="center" vertical="center"/>
      <protection locked="0"/>
    </xf>
    <xf numFmtId="167" fontId="25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vertical="center"/>
    </xf>
    <xf numFmtId="164" fontId="19" fillId="2" borderId="0" xfId="0" applyNumberFormat="1" applyFont="1" applyFill="1" applyBorder="1" applyAlignment="1" applyProtection="1">
      <alignment vertical="center"/>
    </xf>
    <xf numFmtId="0" fontId="19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vertical="center"/>
    </xf>
    <xf numFmtId="20" fontId="0" fillId="2" borderId="1" xfId="0" applyNumberForma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9" fillId="2" borderId="17" xfId="0" applyFont="1" applyFill="1" applyBorder="1" applyAlignment="1" applyProtection="1">
      <alignment horizontal="right" vertical="center"/>
    </xf>
    <xf numFmtId="164" fontId="6" fillId="2" borderId="19" xfId="0" applyNumberFormat="1" applyFont="1" applyFill="1" applyBorder="1" applyAlignment="1" applyProtection="1">
      <alignment vertical="center"/>
    </xf>
    <xf numFmtId="0" fontId="6" fillId="2" borderId="20" xfId="0" applyFont="1" applyFill="1" applyBorder="1" applyAlignment="1" applyProtection="1">
      <alignment vertical="center"/>
    </xf>
    <xf numFmtId="0" fontId="6" fillId="2" borderId="14" xfId="0" applyFont="1" applyFill="1" applyBorder="1" applyAlignment="1" applyProtection="1">
      <alignment horizontal="left" vertical="center"/>
    </xf>
    <xf numFmtId="0" fontId="0" fillId="2" borderId="15" xfId="0" applyFill="1" applyBorder="1" applyAlignment="1" applyProtection="1">
      <alignment vertical="center"/>
    </xf>
    <xf numFmtId="20" fontId="0" fillId="2" borderId="5" xfId="0" applyNumberFormat="1" applyFill="1" applyBorder="1" applyAlignment="1" applyProtection="1">
      <alignment horizontal="center" vertical="center"/>
    </xf>
    <xf numFmtId="164" fontId="6" fillId="2" borderId="21" xfId="0" applyNumberFormat="1" applyFont="1" applyFill="1" applyBorder="1" applyAlignment="1" applyProtection="1">
      <alignment vertical="center"/>
    </xf>
    <xf numFmtId="0" fontId="6" fillId="2" borderId="22" xfId="0" applyFont="1" applyFill="1" applyBorder="1" applyAlignment="1" applyProtection="1">
      <alignment vertical="center"/>
    </xf>
    <xf numFmtId="164" fontId="0" fillId="2" borderId="13" xfId="0" applyNumberFormat="1" applyFill="1" applyBorder="1" applyAlignment="1" applyProtection="1">
      <alignment horizontal="center" vertical="center"/>
    </xf>
    <xf numFmtId="164" fontId="51" fillId="2" borderId="0" xfId="0" applyNumberFormat="1" applyFont="1" applyFill="1" applyAlignment="1" applyProtection="1">
      <alignment horizontal="center" vertical="center"/>
    </xf>
    <xf numFmtId="164" fontId="6" fillId="2" borderId="14" xfId="0" applyNumberFormat="1" applyFont="1" applyFill="1" applyBorder="1" applyAlignment="1" applyProtection="1">
      <alignment vertical="center"/>
    </xf>
    <xf numFmtId="0" fontId="6" fillId="2" borderId="23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center" vertical="center"/>
    </xf>
    <xf numFmtId="0" fontId="32" fillId="22" borderId="0" xfId="0" applyFont="1" applyFill="1" applyAlignment="1" applyProtection="1">
      <alignment horizontal="center" vertical="center"/>
    </xf>
    <xf numFmtId="0" fontId="32" fillId="2" borderId="0" xfId="0" applyFont="1" applyFill="1" applyAlignment="1" applyProtection="1">
      <alignment horizontal="center" vertical="center"/>
    </xf>
    <xf numFmtId="164" fontId="33" fillId="2" borderId="0" xfId="0" applyNumberFormat="1" applyFont="1" applyFill="1" applyAlignment="1" applyProtection="1">
      <alignment vertical="center"/>
    </xf>
    <xf numFmtId="164" fontId="6" fillId="2" borderId="0" xfId="0" applyNumberFormat="1" applyFont="1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0" fontId="0" fillId="2" borderId="0" xfId="0" applyFill="1" applyAlignment="1">
      <alignment vertical="center"/>
    </xf>
    <xf numFmtId="0" fontId="0" fillId="6" borderId="18" xfId="0" applyFill="1" applyBorder="1" applyAlignment="1" applyProtection="1">
      <alignment vertical="center"/>
    </xf>
    <xf numFmtId="0" fontId="0" fillId="6" borderId="18" xfId="0" applyFill="1" applyBorder="1" applyAlignment="1" applyProtection="1">
      <alignment horizontal="center" vertical="center"/>
    </xf>
    <xf numFmtId="0" fontId="86" fillId="24" borderId="12" xfId="0" applyFont="1" applyFill="1" applyBorder="1" applyAlignment="1" applyProtection="1">
      <alignment horizontal="center" vertical="center"/>
    </xf>
    <xf numFmtId="20" fontId="0" fillId="24" borderId="12" xfId="0" applyNumberFormat="1" applyFill="1" applyBorder="1" applyAlignment="1" applyProtection="1">
      <alignment horizontal="center" vertical="center"/>
    </xf>
    <xf numFmtId="0" fontId="87" fillId="7" borderId="13" xfId="0" applyFont="1" applyFill="1" applyBorder="1" applyAlignment="1" applyProtection="1">
      <alignment horizontal="center" vertical="center"/>
    </xf>
    <xf numFmtId="0" fontId="87" fillId="7" borderId="12" xfId="0" applyFont="1" applyFill="1" applyBorder="1" applyAlignment="1" applyProtection="1">
      <alignment horizontal="center" vertical="center"/>
    </xf>
    <xf numFmtId="0" fontId="87" fillId="26" borderId="13" xfId="0" applyFont="1" applyFill="1" applyBorder="1" applyAlignment="1" applyProtection="1">
      <alignment horizontal="center" vertical="center"/>
    </xf>
    <xf numFmtId="0" fontId="17" fillId="7" borderId="32" xfId="0" applyFont="1" applyFill="1" applyBorder="1" applyAlignment="1" applyProtection="1">
      <alignment horizontal="center" vertical="center"/>
    </xf>
    <xf numFmtId="0" fontId="17" fillId="7" borderId="33" xfId="0" applyFont="1" applyFill="1" applyBorder="1" applyAlignment="1" applyProtection="1">
      <alignment horizontal="center" vertical="center"/>
    </xf>
    <xf numFmtId="20" fontId="0" fillId="7" borderId="12" xfId="0" applyNumberFormat="1" applyFill="1" applyBorder="1" applyAlignment="1" applyProtection="1">
      <alignment horizontal="center" vertical="center"/>
    </xf>
    <xf numFmtId="1" fontId="16" fillId="26" borderId="13" xfId="0" applyNumberFormat="1" applyFont="1" applyFill="1" applyBorder="1" applyAlignment="1" applyProtection="1">
      <alignment horizontal="center" vertical="center"/>
    </xf>
    <xf numFmtId="164" fontId="17" fillId="7" borderId="32" xfId="0" applyNumberFormat="1" applyFont="1" applyFill="1" applyBorder="1" applyAlignment="1" applyProtection="1">
      <alignment horizontal="center" vertical="center"/>
    </xf>
    <xf numFmtId="164" fontId="17" fillId="7" borderId="33" xfId="0" applyNumberFormat="1" applyFont="1" applyFill="1" applyBorder="1" applyAlignment="1" applyProtection="1">
      <alignment horizontal="center" vertical="center"/>
    </xf>
    <xf numFmtId="0" fontId="17" fillId="7" borderId="34" xfId="0" applyFont="1" applyFill="1" applyBorder="1" applyAlignment="1" applyProtection="1">
      <alignment horizontal="center" vertical="center"/>
    </xf>
    <xf numFmtId="0" fontId="16" fillId="26" borderId="13" xfId="0" applyFont="1" applyFill="1" applyBorder="1" applyAlignment="1" applyProtection="1">
      <alignment horizontal="center" vertical="center"/>
    </xf>
    <xf numFmtId="1" fontId="79" fillId="26" borderId="13" xfId="0" applyNumberFormat="1" applyFont="1" applyFill="1" applyBorder="1" applyAlignment="1" applyProtection="1">
      <alignment horizontal="center" vertical="center"/>
    </xf>
    <xf numFmtId="0" fontId="79" fillId="26" borderId="13" xfId="0" applyFont="1" applyFill="1" applyBorder="1" applyAlignment="1" applyProtection="1">
      <alignment horizontal="center" vertical="center"/>
    </xf>
    <xf numFmtId="164" fontId="86" fillId="7" borderId="32" xfId="0" applyNumberFormat="1" applyFont="1" applyFill="1" applyBorder="1" applyAlignment="1" applyProtection="1">
      <alignment horizontal="center" vertical="center"/>
    </xf>
    <xf numFmtId="0" fontId="114" fillId="24" borderId="0" xfId="0" applyFont="1" applyFill="1" applyAlignment="1" applyProtection="1">
      <alignment horizontal="center" vertical="center"/>
    </xf>
    <xf numFmtId="167" fontId="87" fillId="26" borderId="13" xfId="0" applyNumberFormat="1" applyFont="1" applyFill="1" applyBorder="1" applyAlignment="1" applyProtection="1">
      <alignment horizontal="center" vertical="center"/>
    </xf>
    <xf numFmtId="0" fontId="3" fillId="7" borderId="0" xfId="0" applyFont="1" applyFill="1" applyBorder="1" applyAlignment="1" applyProtection="1">
      <alignment vertical="center"/>
    </xf>
    <xf numFmtId="164" fontId="19" fillId="7" borderId="0" xfId="0" applyNumberFormat="1" applyFont="1" applyFill="1" applyBorder="1" applyAlignment="1" applyProtection="1">
      <alignment vertical="center"/>
    </xf>
    <xf numFmtId="0" fontId="19" fillId="7" borderId="0" xfId="0" applyFont="1" applyFill="1" applyAlignment="1" applyProtection="1">
      <alignment vertical="center"/>
    </xf>
    <xf numFmtId="0" fontId="19" fillId="7" borderId="0" xfId="0" applyFont="1" applyFill="1" applyAlignment="1" applyProtection="1">
      <alignment horizontal="center" vertical="center"/>
    </xf>
    <xf numFmtId="1" fontId="0" fillId="7" borderId="2" xfId="0" applyNumberFormat="1" applyFill="1" applyBorder="1" applyAlignment="1" applyProtection="1">
      <alignment horizontal="center" vertical="center"/>
    </xf>
    <xf numFmtId="1" fontId="0" fillId="7" borderId="4" xfId="0" applyNumberFormat="1" applyFill="1" applyBorder="1" applyAlignment="1" applyProtection="1">
      <alignment horizontal="center" vertical="center"/>
    </xf>
    <xf numFmtId="1" fontId="0" fillId="26" borderId="2" xfId="0" applyNumberFormat="1" applyFill="1" applyBorder="1" applyAlignment="1" applyProtection="1">
      <alignment horizontal="center" vertical="center"/>
    </xf>
    <xf numFmtId="0" fontId="19" fillId="7" borderId="17" xfId="0" applyFont="1" applyFill="1" applyBorder="1" applyAlignment="1" applyProtection="1">
      <alignment horizontal="right" vertical="center"/>
    </xf>
    <xf numFmtId="164" fontId="6" fillId="7" borderId="19" xfId="0" applyNumberFormat="1" applyFont="1" applyFill="1" applyBorder="1" applyAlignment="1" applyProtection="1">
      <alignment vertical="center"/>
    </xf>
    <xf numFmtId="0" fontId="6" fillId="7" borderId="20" xfId="0" applyFont="1" applyFill="1" applyBorder="1" applyAlignment="1" applyProtection="1">
      <alignment vertical="center"/>
    </xf>
    <xf numFmtId="0" fontId="6" fillId="7" borderId="14" xfId="0" applyFont="1" applyFill="1" applyBorder="1" applyAlignment="1" applyProtection="1">
      <alignment horizontal="left" vertical="center"/>
    </xf>
    <xf numFmtId="0" fontId="3" fillId="7" borderId="15" xfId="0" applyFont="1" applyFill="1" applyBorder="1" applyAlignment="1" applyProtection="1">
      <alignment vertical="center"/>
    </xf>
    <xf numFmtId="0" fontId="28" fillId="7" borderId="0" xfId="0" applyFont="1" applyFill="1" applyAlignment="1" applyProtection="1">
      <alignment vertical="center"/>
    </xf>
    <xf numFmtId="164" fontId="6" fillId="7" borderId="21" xfId="0" applyNumberFormat="1" applyFont="1" applyFill="1" applyBorder="1" applyAlignment="1" applyProtection="1">
      <alignment vertical="center"/>
    </xf>
    <xf numFmtId="0" fontId="6" fillId="7" borderId="22" xfId="0" applyFont="1" applyFill="1" applyBorder="1" applyAlignment="1" applyProtection="1">
      <alignment vertical="center"/>
    </xf>
    <xf numFmtId="0" fontId="3" fillId="7" borderId="0" xfId="0" applyFont="1" applyFill="1" applyAlignment="1" applyProtection="1">
      <alignment vertical="center"/>
    </xf>
    <xf numFmtId="164" fontId="0" fillId="7" borderId="13" xfId="0" applyNumberFormat="1" applyFill="1" applyBorder="1" applyAlignment="1" applyProtection="1">
      <alignment horizontal="center" vertical="center"/>
    </xf>
    <xf numFmtId="164" fontId="0" fillId="7" borderId="12" xfId="0" applyNumberFormat="1" applyFill="1" applyBorder="1" applyAlignment="1" applyProtection="1">
      <alignment horizontal="center" vertical="center"/>
    </xf>
    <xf numFmtId="164" fontId="0" fillId="26" borderId="13" xfId="0" applyNumberFormat="1" applyFill="1" applyBorder="1" applyAlignment="1" applyProtection="1">
      <alignment horizontal="center" vertical="center"/>
    </xf>
    <xf numFmtId="164" fontId="51" fillId="7" borderId="0" xfId="0" applyNumberFormat="1" applyFont="1" applyFill="1" applyAlignment="1" applyProtection="1">
      <alignment horizontal="center" vertical="center"/>
    </xf>
    <xf numFmtId="164" fontId="6" fillId="7" borderId="14" xfId="0" applyNumberFormat="1" applyFont="1" applyFill="1" applyBorder="1" applyAlignment="1" applyProtection="1">
      <alignment vertical="center"/>
    </xf>
    <xf numFmtId="0" fontId="6" fillId="7" borderId="23" xfId="0" applyFont="1" applyFill="1" applyBorder="1" applyAlignment="1" applyProtection="1">
      <alignment vertical="center"/>
    </xf>
    <xf numFmtId="0" fontId="3" fillId="7" borderId="0" xfId="0" applyFont="1" applyFill="1" applyBorder="1" applyAlignment="1" applyProtection="1">
      <alignment horizontal="center" vertical="center"/>
    </xf>
    <xf numFmtId="0" fontId="28" fillId="7" borderId="108" xfId="0" applyFont="1" applyFill="1" applyBorder="1" applyAlignment="1" applyProtection="1">
      <alignment horizontal="center" vertical="center"/>
    </xf>
    <xf numFmtId="0" fontId="28" fillId="7" borderId="0" xfId="0" applyFont="1" applyFill="1" applyAlignment="1" applyProtection="1">
      <alignment horizontal="center" vertical="center"/>
    </xf>
    <xf numFmtId="164" fontId="29" fillId="7" borderId="0" xfId="0" applyNumberFormat="1" applyFont="1" applyFill="1" applyAlignment="1" applyProtection="1">
      <alignment vertical="center"/>
    </xf>
    <xf numFmtId="164" fontId="6" fillId="7" borderId="0" xfId="0" applyNumberFormat="1" applyFont="1" applyFill="1" applyBorder="1" applyAlignment="1" applyProtection="1">
      <alignment vertical="center"/>
    </xf>
    <xf numFmtId="0" fontId="6" fillId="7" borderId="0" xfId="0" applyFont="1" applyFill="1" applyBorder="1" applyAlignment="1" applyProtection="1">
      <alignment vertical="center"/>
    </xf>
    <xf numFmtId="0" fontId="6" fillId="7" borderId="0" xfId="0" applyFont="1" applyFill="1" applyAlignment="1" applyProtection="1">
      <alignment horizontal="center" vertical="center"/>
    </xf>
    <xf numFmtId="0" fontId="0" fillId="7" borderId="0" xfId="0" applyFill="1" applyAlignment="1">
      <alignment vertical="center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166" fontId="0" fillId="0" borderId="0" xfId="0" applyNumberFormat="1" applyAlignment="1">
      <alignment vertical="center"/>
    </xf>
    <xf numFmtId="166" fontId="0" fillId="0" borderId="12" xfId="0" applyNumberFormat="1" applyBorder="1" applyAlignment="1">
      <alignment vertical="center"/>
    </xf>
    <xf numFmtId="166" fontId="74" fillId="0" borderId="106" xfId="0" applyNumberFormat="1" applyFont="1" applyBorder="1" applyAlignment="1">
      <alignment vertical="center"/>
    </xf>
    <xf numFmtId="166" fontId="74" fillId="0" borderId="106" xfId="0" applyNumberFormat="1" applyFont="1" applyBorder="1" applyAlignment="1">
      <alignment horizontal="center" vertical="center"/>
    </xf>
    <xf numFmtId="166" fontId="0" fillId="0" borderId="106" xfId="0" applyNumberFormat="1" applyBorder="1" applyAlignment="1">
      <alignment vertical="center"/>
    </xf>
    <xf numFmtId="166" fontId="0" fillId="0" borderId="16" xfId="0" applyNumberFormat="1" applyBorder="1" applyAlignment="1">
      <alignment vertical="center"/>
    </xf>
    <xf numFmtId="0" fontId="0" fillId="0" borderId="0" xfId="0" quotePrefix="1" applyAlignment="1">
      <alignment horizontal="left" vertical="center"/>
    </xf>
    <xf numFmtId="0" fontId="113" fillId="0" borderId="0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8" xfId="0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0" xfId="0" quotePrefix="1" applyAlignment="1">
      <alignment horizontal="center" vertical="center"/>
    </xf>
    <xf numFmtId="0" fontId="0" fillId="0" borderId="4" xfId="0" applyBorder="1" applyAlignment="1">
      <alignment vertical="center"/>
    </xf>
    <xf numFmtId="9" fontId="0" fillId="0" borderId="0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42" fillId="0" borderId="0" xfId="0" applyFont="1" applyAlignment="1">
      <alignment horizontal="center" vertical="center"/>
    </xf>
    <xf numFmtId="172" fontId="91" fillId="0" borderId="0" xfId="0" applyNumberFormat="1" applyFont="1" applyBorder="1" applyAlignment="1">
      <alignment horizontal="center" vertical="center"/>
    </xf>
    <xf numFmtId="9" fontId="117" fillId="0" borderId="0" xfId="0" applyNumberFormat="1" applyFont="1" applyBorder="1" applyAlignment="1">
      <alignment horizontal="center" vertical="center"/>
    </xf>
    <xf numFmtId="172" fontId="117" fillId="0" borderId="0" xfId="0" applyNumberFormat="1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171" fontId="42" fillId="0" borderId="0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18" fillId="0" borderId="6" xfId="0" applyFont="1" applyBorder="1" applyAlignment="1">
      <alignment horizontal="center" vertical="center"/>
    </xf>
    <xf numFmtId="0" fontId="119" fillId="0" borderId="6" xfId="0" applyFont="1" applyBorder="1" applyAlignment="1">
      <alignment horizontal="center" vertical="center"/>
    </xf>
    <xf numFmtId="171" fontId="118" fillId="0" borderId="6" xfId="0" applyNumberFormat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171" fontId="42" fillId="0" borderId="0" xfId="0" applyNumberFormat="1" applyFont="1" applyAlignment="1">
      <alignment horizontal="center" vertical="center"/>
    </xf>
    <xf numFmtId="173" fontId="18" fillId="0" borderId="5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1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164" fontId="17" fillId="0" borderId="0" xfId="0" applyNumberFormat="1" applyFont="1" applyFill="1" applyBorder="1" applyAlignment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  <protection locked="0"/>
    </xf>
    <xf numFmtId="167" fontId="7" fillId="0" borderId="0" xfId="0" applyNumberFormat="1" applyFont="1" applyFill="1" applyBorder="1" applyAlignment="1" applyProtection="1">
      <alignment horizontal="center" vertical="center"/>
      <protection locked="0"/>
    </xf>
    <xf numFmtId="167" fontId="8" fillId="0" borderId="0" xfId="0" applyNumberFormat="1" applyFont="1" applyFill="1" applyBorder="1" applyAlignment="1" applyProtection="1">
      <alignment horizontal="center" vertical="center"/>
      <protection locked="0"/>
    </xf>
    <xf numFmtId="167" fontId="9" fillId="0" borderId="0" xfId="0" applyNumberFormat="1" applyFont="1" applyFill="1" applyBorder="1" applyAlignment="1" applyProtection="1">
      <alignment horizontal="center" vertical="center"/>
      <protection locked="0"/>
    </xf>
    <xf numFmtId="167" fontId="10" fillId="0" borderId="0" xfId="0" applyNumberFormat="1" applyFont="1" applyFill="1" applyBorder="1" applyAlignment="1" applyProtection="1">
      <alignment horizontal="center" vertical="center"/>
      <protection locked="0"/>
    </xf>
    <xf numFmtId="167" fontId="11" fillId="0" borderId="0" xfId="0" applyNumberFormat="1" applyFont="1" applyFill="1" applyBorder="1" applyAlignment="1" applyProtection="1">
      <alignment horizontal="center" vertical="center"/>
      <protection locked="0"/>
    </xf>
    <xf numFmtId="167" fontId="12" fillId="0" borderId="0" xfId="0" applyNumberFormat="1" applyFont="1" applyFill="1" applyBorder="1" applyAlignment="1" applyProtection="1">
      <alignment horizontal="center" vertical="center"/>
      <protection locked="0"/>
    </xf>
    <xf numFmtId="167" fontId="13" fillId="0" borderId="0" xfId="0" applyNumberFormat="1" applyFont="1" applyFill="1" applyBorder="1" applyAlignment="1" applyProtection="1">
      <alignment horizontal="center" vertical="center"/>
      <protection locked="0"/>
    </xf>
    <xf numFmtId="167" fontId="14" fillId="0" borderId="0" xfId="0" applyNumberFormat="1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right" vertical="center"/>
    </xf>
    <xf numFmtId="1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2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2" fontId="0" fillId="0" borderId="28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6" xfId="0" applyNumberFormat="1" applyFill="1" applyBorder="1" applyAlignment="1">
      <alignment horizontal="center" vertical="center"/>
    </xf>
    <xf numFmtId="2" fontId="0" fillId="0" borderId="29" xfId="0" applyNumberFormat="1" applyFill="1" applyBorder="1" applyAlignment="1">
      <alignment horizontal="center" vertical="center"/>
    </xf>
    <xf numFmtId="2" fontId="0" fillId="0" borderId="30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0" fontId="0" fillId="0" borderId="67" xfId="0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35" fillId="17" borderId="24" xfId="0" applyFont="1" applyFill="1" applyBorder="1" applyAlignment="1">
      <alignment horizontal="center" vertical="center"/>
    </xf>
    <xf numFmtId="0" fontId="0" fillId="0" borderId="68" xfId="0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68" xfId="0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17" borderId="0" xfId="0" applyFill="1" applyAlignment="1">
      <alignment vertical="center"/>
    </xf>
    <xf numFmtId="0" fontId="0" fillId="0" borderId="67" xfId="0" applyBorder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vertical="center"/>
    </xf>
    <xf numFmtId="0" fontId="0" fillId="4" borderId="11" xfId="0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/>
    </xf>
    <xf numFmtId="14" fontId="4" fillId="4" borderId="3" xfId="0" applyNumberFormat="1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left" vertical="center"/>
    </xf>
    <xf numFmtId="14" fontId="4" fillId="4" borderId="6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 wrapText="1"/>
    </xf>
    <xf numFmtId="0" fontId="116" fillId="0" borderId="51" xfId="0" applyFont="1" applyFill="1" applyBorder="1" applyAlignment="1" applyProtection="1">
      <alignment horizontal="center" vertical="center" wrapText="1" shrinkToFit="1"/>
      <protection locked="0"/>
    </xf>
    <xf numFmtId="1" fontId="84" fillId="0" borderId="51" xfId="0" applyNumberFormat="1" applyFont="1" applyFill="1" applyBorder="1" applyAlignment="1" applyProtection="1">
      <alignment horizontal="center" vertical="center" wrapText="1"/>
      <protection locked="0"/>
    </xf>
    <xf numFmtId="1" fontId="120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84" fillId="0" borderId="51" xfId="0" quotePrefix="1" applyFont="1" applyFill="1" applyBorder="1" applyAlignment="1" applyProtection="1">
      <alignment horizontal="center" vertical="center" wrapText="1" shrinkToFit="1"/>
      <protection locked="0"/>
    </xf>
    <xf numFmtId="0" fontId="121" fillId="0" borderId="51" xfId="0" applyFont="1" applyFill="1" applyBorder="1" applyAlignment="1" applyProtection="1">
      <alignment horizontal="center" vertical="center" wrapText="1"/>
      <protection locked="0"/>
    </xf>
    <xf numFmtId="0" fontId="122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112" fillId="0" borderId="91" xfId="0" applyNumberFormat="1" applyFont="1" applyFill="1" applyBorder="1" applyAlignment="1" applyProtection="1">
      <alignment horizontal="center" vertical="center" wrapText="1"/>
      <protection locked="0"/>
    </xf>
    <xf numFmtId="1" fontId="93" fillId="0" borderId="75" xfId="0" applyNumberFormat="1" applyFont="1" applyFill="1" applyBorder="1" applyAlignment="1" applyProtection="1">
      <alignment horizontal="center"/>
      <protection locked="0"/>
    </xf>
    <xf numFmtId="0" fontId="110" fillId="5" borderId="13" xfId="0" applyFont="1" applyFill="1" applyBorder="1" applyAlignment="1" applyProtection="1">
      <alignment horizontal="center" vertical="center"/>
    </xf>
    <xf numFmtId="0" fontId="127" fillId="0" borderId="0" xfId="0" applyFont="1" applyAlignment="1">
      <alignment textRotation="180"/>
    </xf>
    <xf numFmtId="1" fontId="87" fillId="24" borderId="13" xfId="0" applyNumberFormat="1" applyFont="1" applyFill="1" applyBorder="1" applyAlignment="1" applyProtection="1">
      <alignment horizontal="center" vertical="center"/>
    </xf>
    <xf numFmtId="1" fontId="87" fillId="24" borderId="12" xfId="0" applyNumberFormat="1" applyFont="1" applyFill="1" applyBorder="1" applyAlignment="1" applyProtection="1">
      <alignment horizontal="center" vertical="center"/>
    </xf>
    <xf numFmtId="1" fontId="87" fillId="28" borderId="13" xfId="0" applyNumberFormat="1" applyFont="1" applyFill="1" applyBorder="1" applyAlignment="1" applyProtection="1">
      <alignment horizontal="center" vertical="center"/>
    </xf>
    <xf numFmtId="0" fontId="45" fillId="43" borderId="49" xfId="0" applyFont="1" applyFill="1" applyBorder="1" applyAlignment="1" applyProtection="1">
      <alignment vertical="center"/>
    </xf>
    <xf numFmtId="0" fontId="45" fillId="43" borderId="51" xfId="0" applyFont="1" applyFill="1" applyBorder="1" applyAlignment="1" applyProtection="1">
      <alignment vertical="center"/>
    </xf>
    <xf numFmtId="0" fontId="45" fillId="38" borderId="93" xfId="0" applyFont="1" applyFill="1" applyBorder="1" applyAlignment="1" applyProtection="1">
      <alignment vertical="center"/>
    </xf>
    <xf numFmtId="0" fontId="0" fillId="41" borderId="93" xfId="0" applyFill="1" applyBorder="1" applyAlignment="1" applyProtection="1">
      <alignment vertical="center"/>
    </xf>
    <xf numFmtId="0" fontId="0" fillId="41" borderId="77" xfId="0" applyFill="1" applyBorder="1" applyAlignment="1" applyProtection="1">
      <alignment vertical="center"/>
    </xf>
    <xf numFmtId="1" fontId="85" fillId="23" borderId="13" xfId="0" applyNumberFormat="1" applyFont="1" applyFill="1" applyBorder="1" applyAlignment="1" applyProtection="1">
      <alignment horizontal="center" vertical="center"/>
    </xf>
    <xf numFmtId="1" fontId="85" fillId="23" borderId="12" xfId="0" applyNumberFormat="1" applyFont="1" applyFill="1" applyBorder="1" applyAlignment="1" applyProtection="1">
      <alignment horizontal="center" vertical="center"/>
    </xf>
    <xf numFmtId="0" fontId="0" fillId="0" borderId="99" xfId="0" applyBorder="1" applyProtection="1"/>
    <xf numFmtId="0" fontId="0" fillId="0" borderId="73" xfId="0" applyBorder="1" applyProtection="1"/>
    <xf numFmtId="0" fontId="0" fillId="0" borderId="100" xfId="0" applyBorder="1" applyProtection="1"/>
    <xf numFmtId="0" fontId="129" fillId="0" borderId="51" xfId="0" applyFont="1" applyFill="1" applyBorder="1" applyAlignment="1" applyProtection="1">
      <alignment horizontal="center" vertical="center" wrapText="1"/>
      <protection locked="0"/>
    </xf>
    <xf numFmtId="1" fontId="130" fillId="0" borderId="13" xfId="0" applyNumberFormat="1" applyFont="1" applyFill="1" applyBorder="1" applyAlignment="1" applyProtection="1">
      <alignment horizontal="center" vertical="center"/>
      <protection locked="0"/>
    </xf>
    <xf numFmtId="1" fontId="109" fillId="0" borderId="13" xfId="0" applyNumberFormat="1" applyFont="1" applyFill="1" applyBorder="1" applyAlignment="1" applyProtection="1">
      <alignment horizontal="center" vertical="center"/>
      <protection locked="0"/>
    </xf>
    <xf numFmtId="0" fontId="109" fillId="0" borderId="13" xfId="0" applyFont="1" applyFill="1" applyBorder="1" applyAlignment="1" applyProtection="1">
      <alignment horizontal="center" vertical="center"/>
      <protection locked="0"/>
    </xf>
    <xf numFmtId="14" fontId="55" fillId="40" borderId="111" xfId="0" quotePrefix="1" applyNumberFormat="1" applyFont="1" applyFill="1" applyBorder="1" applyAlignment="1" applyProtection="1">
      <alignment horizontal="center" vertical="center" wrapText="1"/>
      <protection locked="0"/>
    </xf>
    <xf numFmtId="49" fontId="80" fillId="46" borderId="110" xfId="0" applyNumberFormat="1" applyFont="1" applyFill="1" applyBorder="1" applyAlignment="1" applyProtection="1">
      <alignment horizontal="center" vertical="center" wrapText="1"/>
      <protection locked="0"/>
    </xf>
    <xf numFmtId="1" fontId="109" fillId="0" borderId="12" xfId="0" applyNumberFormat="1" applyFont="1" applyFill="1" applyBorder="1" applyAlignment="1" applyProtection="1">
      <alignment horizontal="center" vertical="center"/>
      <protection locked="0"/>
    </xf>
    <xf numFmtId="1" fontId="77" fillId="0" borderId="12" xfId="0" applyNumberFormat="1" applyFont="1" applyFill="1" applyBorder="1" applyAlignment="1" applyProtection="1">
      <alignment horizontal="center" vertical="center"/>
      <protection locked="0"/>
    </xf>
    <xf numFmtId="1" fontId="130" fillId="0" borderId="12" xfId="0" applyNumberFormat="1" applyFont="1" applyFill="1" applyBorder="1" applyAlignment="1" applyProtection="1">
      <alignment horizontal="center" vertical="center"/>
      <protection locked="0"/>
    </xf>
    <xf numFmtId="0" fontId="132" fillId="3" borderId="0" xfId="0" applyFont="1" applyFill="1" applyAlignment="1" applyProtection="1">
      <alignment horizontal="center" vertical="center"/>
    </xf>
    <xf numFmtId="0" fontId="132" fillId="3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right"/>
    </xf>
    <xf numFmtId="0" fontId="0" fillId="0" borderId="55" xfId="0" applyBorder="1" applyAlignment="1">
      <alignment horizontal="right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right"/>
    </xf>
    <xf numFmtId="0" fontId="0" fillId="0" borderId="59" xfId="0" applyBorder="1" applyAlignment="1">
      <alignment horizontal="right"/>
    </xf>
    <xf numFmtId="0" fontId="0" fillId="0" borderId="60" xfId="0" applyBorder="1" applyAlignment="1">
      <alignment horizontal="right"/>
    </xf>
    <xf numFmtId="0" fontId="0" fillId="0" borderId="61" xfId="0" applyBorder="1" applyAlignment="1">
      <alignment horizontal="right"/>
    </xf>
    <xf numFmtId="0" fontId="0" fillId="0" borderId="62" xfId="0" applyBorder="1" applyAlignment="1">
      <alignment horizontal="right"/>
    </xf>
    <xf numFmtId="0" fontId="0" fillId="0" borderId="76" xfId="0" applyBorder="1" applyAlignment="1">
      <alignment horizontal="right"/>
    </xf>
    <xf numFmtId="0" fontId="0" fillId="0" borderId="63" xfId="0" applyBorder="1" applyAlignment="1">
      <alignment horizontal="right"/>
    </xf>
    <xf numFmtId="0" fontId="82" fillId="0" borderId="0" xfId="0" applyFont="1"/>
    <xf numFmtId="164" fontId="128" fillId="3" borderId="0" xfId="0" applyNumberFormat="1" applyFont="1" applyFill="1" applyAlignment="1" applyProtection="1">
      <alignment horizontal="center" vertical="center"/>
    </xf>
    <xf numFmtId="0" fontId="109" fillId="23" borderId="13" xfId="0" applyFont="1" applyFill="1" applyBorder="1" applyAlignment="1" applyProtection="1">
      <alignment horizontal="center" vertical="center"/>
    </xf>
    <xf numFmtId="174" fontId="20" fillId="5" borderId="71" xfId="0" applyNumberFormat="1" applyFont="1" applyFill="1" applyBorder="1" applyAlignment="1">
      <alignment horizontal="center" vertical="center"/>
    </xf>
    <xf numFmtId="174" fontId="20" fillId="5" borderId="75" xfId="0" applyNumberFormat="1" applyFont="1" applyFill="1" applyBorder="1" applyAlignment="1">
      <alignment horizontal="center" vertical="center"/>
    </xf>
    <xf numFmtId="174" fontId="111" fillId="5" borderId="75" xfId="0" applyNumberFormat="1" applyFont="1" applyFill="1" applyBorder="1" applyAlignment="1">
      <alignment horizontal="center" vertical="center"/>
    </xf>
    <xf numFmtId="174" fontId="111" fillId="5" borderId="11" xfId="0" applyNumberFormat="1" applyFont="1" applyFill="1" applyBorder="1" applyAlignment="1">
      <alignment horizontal="center" vertical="center"/>
    </xf>
    <xf numFmtId="0" fontId="110" fillId="0" borderId="51" xfId="0" applyFont="1" applyFill="1" applyBorder="1" applyAlignment="1" applyProtection="1">
      <alignment horizontal="center" vertical="center" wrapText="1"/>
      <protection locked="0"/>
    </xf>
    <xf numFmtId="0" fontId="45" fillId="38" borderId="77" xfId="0" applyFont="1" applyFill="1" applyBorder="1" applyAlignment="1" applyProtection="1">
      <alignment vertical="center"/>
    </xf>
    <xf numFmtId="0" fontId="0" fillId="7" borderId="7" xfId="0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 vertical="center"/>
    </xf>
    <xf numFmtId="0" fontId="0" fillId="7" borderId="12" xfId="0" applyFill="1" applyBorder="1" applyAlignment="1" applyProtection="1">
      <alignment horizontal="center" vertical="center"/>
    </xf>
    <xf numFmtId="1" fontId="87" fillId="0" borderId="0" xfId="0" applyNumberFormat="1" applyFont="1" applyFill="1" applyBorder="1" applyAlignment="1" applyProtection="1">
      <alignment horizontal="center" vertical="center"/>
    </xf>
    <xf numFmtId="0" fontId="87" fillId="0" borderId="0" xfId="0" applyFont="1" applyFill="1" applyBorder="1" applyAlignment="1" applyProtection="1">
      <alignment horizontal="center" vertical="center"/>
    </xf>
    <xf numFmtId="1" fontId="130" fillId="0" borderId="0" xfId="0" applyNumberFormat="1" applyFont="1" applyFill="1" applyBorder="1" applyAlignment="1" applyProtection="1">
      <alignment horizontal="center" vertical="center"/>
      <protection locked="0"/>
    </xf>
    <xf numFmtId="1" fontId="115" fillId="0" borderId="0" xfId="0" applyNumberFormat="1" applyFont="1" applyFill="1" applyBorder="1" applyAlignment="1" applyProtection="1">
      <alignment horizontal="center" vertical="center"/>
      <protection locked="0"/>
    </xf>
    <xf numFmtId="1" fontId="77" fillId="0" borderId="0" xfId="0" applyNumberFormat="1" applyFont="1" applyFill="1" applyBorder="1" applyAlignment="1" applyProtection="1">
      <alignment horizontal="center" vertical="center"/>
      <protection locked="0"/>
    </xf>
    <xf numFmtId="1" fontId="115" fillId="0" borderId="0" xfId="0" applyNumberFormat="1" applyFont="1" applyFill="1" applyBorder="1" applyAlignment="1" applyProtection="1">
      <alignment horizontal="center"/>
      <protection locked="0"/>
    </xf>
    <xf numFmtId="1" fontId="77" fillId="0" borderId="0" xfId="0" applyNumberFormat="1" applyFont="1" applyFill="1" applyBorder="1" applyAlignment="1" applyProtection="1">
      <alignment horizontal="center"/>
      <protection locked="0"/>
    </xf>
    <xf numFmtId="1" fontId="109" fillId="0" borderId="0" xfId="0" applyNumberFormat="1" applyFont="1" applyFill="1" applyBorder="1" applyAlignment="1" applyProtection="1">
      <alignment horizontal="center" vertical="center"/>
      <protection locked="0"/>
    </xf>
    <xf numFmtId="1" fontId="109" fillId="0" borderId="0" xfId="0" applyNumberFormat="1" applyFont="1" applyFill="1" applyBorder="1" applyAlignment="1" applyProtection="1">
      <alignment horizontal="center"/>
      <protection locked="0"/>
    </xf>
    <xf numFmtId="1" fontId="135" fillId="0" borderId="0" xfId="0" applyNumberFormat="1" applyFont="1" applyFill="1" applyBorder="1" applyAlignment="1" applyProtection="1">
      <alignment horizontal="center" vertical="center"/>
      <protection locked="0"/>
    </xf>
    <xf numFmtId="1" fontId="89" fillId="0" borderId="0" xfId="0" applyNumberFormat="1" applyFont="1" applyFill="1" applyBorder="1" applyAlignment="1" applyProtection="1">
      <alignment horizontal="center" vertical="center"/>
      <protection locked="0"/>
    </xf>
    <xf numFmtId="1" fontId="130" fillId="0" borderId="0" xfId="0" applyNumberFormat="1" applyFont="1" applyFill="1" applyBorder="1" applyAlignment="1" applyProtection="1">
      <alignment horizontal="center"/>
      <protection locked="0"/>
    </xf>
    <xf numFmtId="167" fontId="113" fillId="0" borderId="0" xfId="0" applyNumberFormat="1" applyFont="1" applyFill="1" applyBorder="1" applyAlignment="1" applyProtection="1">
      <alignment horizontal="center"/>
      <protection locked="0"/>
    </xf>
    <xf numFmtId="167" fontId="110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 vertical="center"/>
    </xf>
    <xf numFmtId="2" fontId="133" fillId="0" borderId="0" xfId="0" applyNumberFormat="1" applyFont="1" applyAlignment="1">
      <alignment horizontal="left"/>
    </xf>
    <xf numFmtId="0" fontId="136" fillId="0" borderId="53" xfId="0" applyFont="1" applyFill="1" applyBorder="1" applyAlignment="1" applyProtection="1">
      <alignment horizontal="center" vertical="center" wrapText="1" shrinkToFit="1"/>
      <protection locked="0"/>
    </xf>
    <xf numFmtId="0" fontId="96" fillId="0" borderId="92" xfId="0" quotePrefix="1" applyFont="1" applyFill="1" applyBorder="1" applyAlignment="1" applyProtection="1">
      <alignment horizontal="left" vertical="center" wrapText="1"/>
      <protection locked="0"/>
    </xf>
    <xf numFmtId="167" fontId="110" fillId="0" borderId="16" xfId="0" applyNumberFormat="1" applyFont="1" applyFill="1" applyBorder="1" applyAlignment="1" applyProtection="1">
      <alignment horizontal="center" vertical="center"/>
      <protection locked="0"/>
    </xf>
    <xf numFmtId="0" fontId="30" fillId="5" borderId="0" xfId="0" applyFont="1" applyFill="1" applyBorder="1" applyAlignment="1" applyProtection="1">
      <alignment horizontal="center" vertical="center"/>
    </xf>
    <xf numFmtId="0" fontId="112" fillId="0" borderId="52" xfId="0" applyNumberFormat="1" applyFont="1" applyFill="1" applyBorder="1" applyAlignment="1" applyProtection="1">
      <alignment horizontal="center" vertical="center" wrapText="1"/>
      <protection locked="0"/>
    </xf>
    <xf numFmtId="0" fontId="135" fillId="0" borderId="77" xfId="0" applyFont="1" applyFill="1" applyBorder="1" applyAlignment="1" applyProtection="1">
      <alignment horizontal="center" vertical="center" wrapText="1"/>
      <protection locked="0"/>
    </xf>
    <xf numFmtId="0" fontId="134" fillId="0" borderId="95" xfId="0" applyFont="1" applyFill="1" applyBorder="1" applyAlignment="1" applyProtection="1">
      <alignment horizontal="center" vertical="center" wrapText="1"/>
      <protection locked="0"/>
    </xf>
    <xf numFmtId="0" fontId="79" fillId="0" borderId="77" xfId="0" applyFont="1" applyFill="1" applyBorder="1" applyAlignment="1" applyProtection="1">
      <alignment horizontal="center" vertical="center" wrapText="1"/>
      <protection locked="0"/>
    </xf>
    <xf numFmtId="1" fontId="0" fillId="7" borderId="1" xfId="0" applyNumberFormat="1" applyFill="1" applyBorder="1" applyAlignment="1" applyProtection="1">
      <alignment horizontal="center" vertical="center"/>
    </xf>
    <xf numFmtId="0" fontId="17" fillId="3" borderId="32" xfId="0" applyFont="1" applyFill="1" applyBorder="1" applyAlignment="1" applyProtection="1">
      <alignment horizontal="center" vertical="center"/>
    </xf>
    <xf numFmtId="0" fontId="17" fillId="3" borderId="34" xfId="0" applyFont="1" applyFill="1" applyBorder="1" applyAlignment="1" applyProtection="1">
      <alignment horizontal="center" vertical="center"/>
    </xf>
    <xf numFmtId="0" fontId="110" fillId="0" borderId="75" xfId="0" applyFont="1" applyFill="1" applyBorder="1" applyAlignment="1" applyProtection="1">
      <alignment horizontal="center" vertical="center" wrapText="1" shrinkToFit="1"/>
      <protection locked="0"/>
    </xf>
    <xf numFmtId="0" fontId="45" fillId="0" borderId="77" xfId="0" applyFont="1" applyFill="1" applyBorder="1" applyAlignment="1" applyProtection="1">
      <alignment horizontal="center" vertical="center"/>
      <protection locked="0"/>
    </xf>
    <xf numFmtId="0" fontId="139" fillId="0" borderId="75" xfId="0" applyFont="1" applyFill="1" applyBorder="1" applyAlignment="1" applyProtection="1">
      <alignment horizontal="center" vertical="center" wrapText="1" shrinkToFit="1"/>
      <protection locked="0"/>
    </xf>
    <xf numFmtId="0" fontId="138" fillId="0" borderId="51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ont="1" applyAlignment="1">
      <alignment vertical="center"/>
    </xf>
    <xf numFmtId="0" fontId="0" fillId="0" borderId="51" xfId="0" applyFont="1" applyFill="1" applyBorder="1" applyAlignment="1" applyProtection="1">
      <alignment horizontal="center" vertical="center" wrapText="1"/>
      <protection locked="0"/>
    </xf>
    <xf numFmtId="1" fontId="83" fillId="0" borderId="75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0" xfId="0" applyFont="1" applyBorder="1"/>
    <xf numFmtId="165" fontId="0" fillId="0" borderId="39" xfId="0" applyNumberFormat="1" applyBorder="1" applyAlignment="1">
      <alignment horizontal="center" vertical="center"/>
    </xf>
    <xf numFmtId="9" fontId="0" fillId="24" borderId="41" xfId="0" applyNumberFormat="1" applyFill="1" applyBorder="1" applyAlignment="1">
      <alignment horizontal="center" vertical="center"/>
    </xf>
    <xf numFmtId="1" fontId="91" fillId="24" borderId="42" xfId="0" applyNumberFormat="1" applyFont="1" applyFill="1" applyBorder="1" applyAlignment="1">
      <alignment horizontal="center" vertical="center"/>
    </xf>
    <xf numFmtId="172" fontId="91" fillId="0" borderId="43" xfId="0" applyNumberFormat="1" applyFont="1" applyBorder="1" applyAlignment="1">
      <alignment horizontal="center" vertical="center"/>
    </xf>
    <xf numFmtId="165" fontId="42" fillId="0" borderId="42" xfId="0" applyNumberFormat="1" applyFont="1" applyBorder="1" applyAlignment="1">
      <alignment horizontal="center" vertical="center"/>
    </xf>
    <xf numFmtId="9" fontId="42" fillId="24" borderId="43" xfId="0" applyNumberFormat="1" applyFont="1" applyFill="1" applyBorder="1" applyAlignment="1">
      <alignment horizontal="center" vertical="center"/>
    </xf>
    <xf numFmtId="1" fontId="42" fillId="24" borderId="42" xfId="0" applyNumberFormat="1" applyFont="1" applyFill="1" applyBorder="1" applyAlignment="1">
      <alignment horizontal="center" vertical="center"/>
    </xf>
    <xf numFmtId="172" fontId="42" fillId="0" borderId="43" xfId="0" applyNumberFormat="1" applyFont="1" applyBorder="1" applyAlignment="1">
      <alignment horizontal="center" vertical="center"/>
    </xf>
    <xf numFmtId="1" fontId="91" fillId="24" borderId="44" xfId="0" applyNumberFormat="1" applyFont="1" applyFill="1" applyBorder="1" applyAlignment="1">
      <alignment horizontal="center" vertical="center"/>
    </xf>
    <xf numFmtId="172" fontId="91" fillId="0" borderId="46" xfId="0" applyNumberFormat="1" applyFont="1" applyBorder="1" applyAlignment="1">
      <alignment horizontal="center" vertical="center"/>
    </xf>
    <xf numFmtId="0" fontId="0" fillId="26" borderId="0" xfId="0" applyFill="1" applyAlignment="1">
      <alignment horizontal="center"/>
    </xf>
    <xf numFmtId="0" fontId="0" fillId="29" borderId="7" xfId="0" applyFill="1" applyBorder="1"/>
    <xf numFmtId="0" fontId="0" fillId="29" borderId="108" xfId="0" applyFill="1" applyBorder="1"/>
    <xf numFmtId="0" fontId="0" fillId="29" borderId="9" xfId="0" applyFill="1" applyBorder="1"/>
    <xf numFmtId="0" fontId="0" fillId="29" borderId="4" xfId="0" applyFill="1" applyBorder="1"/>
    <xf numFmtId="0" fontId="0" fillId="29" borderId="10" xfId="0" applyFill="1" applyBorder="1"/>
    <xf numFmtId="0" fontId="0" fillId="29" borderId="5" xfId="0" applyFill="1" applyBorder="1"/>
    <xf numFmtId="0" fontId="0" fillId="29" borderId="6" xfId="0" applyFill="1" applyBorder="1"/>
    <xf numFmtId="0" fontId="0" fillId="29" borderId="11" xfId="0" applyFill="1" applyBorder="1"/>
    <xf numFmtId="0" fontId="0" fillId="29" borderId="0" xfId="0" applyFill="1" applyBorder="1" applyAlignment="1">
      <alignment horizontal="left" vertical="center"/>
    </xf>
    <xf numFmtId="0" fontId="77" fillId="50" borderId="13" xfId="0" applyFont="1" applyFill="1" applyBorder="1" applyAlignment="1">
      <alignment horizontal="center" vertical="center"/>
    </xf>
    <xf numFmtId="0" fontId="0" fillId="0" borderId="115" xfId="0" applyBorder="1" applyAlignment="1">
      <alignment vertical="center"/>
    </xf>
    <xf numFmtId="0" fontId="42" fillId="0" borderId="116" xfId="0" applyFont="1" applyBorder="1" applyAlignment="1">
      <alignment horizontal="center" vertical="center"/>
    </xf>
    <xf numFmtId="0" fontId="0" fillId="0" borderId="117" xfId="0" applyBorder="1" applyAlignment="1">
      <alignment vertical="center"/>
    </xf>
    <xf numFmtId="0" fontId="0" fillId="0" borderId="118" xfId="0" applyBorder="1" applyAlignment="1">
      <alignment vertical="center"/>
    </xf>
    <xf numFmtId="0" fontId="42" fillId="0" borderId="119" xfId="0" applyFont="1" applyBorder="1" applyAlignment="1">
      <alignment horizontal="center" vertical="center"/>
    </xf>
    <xf numFmtId="0" fontId="0" fillId="0" borderId="120" xfId="0" applyBorder="1" applyAlignment="1">
      <alignment vertical="center"/>
    </xf>
    <xf numFmtId="9" fontId="42" fillId="24" borderId="122" xfId="0" applyNumberFormat="1" applyFont="1" applyFill="1" applyBorder="1" applyAlignment="1">
      <alignment horizontal="center" vertical="center"/>
    </xf>
    <xf numFmtId="9" fontId="117" fillId="0" borderId="123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3" fillId="51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 applyFill="1" applyAlignment="1">
      <alignment vertical="center"/>
    </xf>
    <xf numFmtId="49" fontId="97" fillId="39" borderId="112" xfId="0" applyNumberFormat="1" applyFont="1" applyFill="1" applyBorder="1" applyAlignment="1" applyProtection="1">
      <alignment horizontal="center" vertical="center" wrapText="1"/>
      <protection locked="0"/>
    </xf>
    <xf numFmtId="14" fontId="97" fillId="39" borderId="113" xfId="0" quotePrefix="1" applyNumberFormat="1" applyFont="1" applyFill="1" applyBorder="1" applyAlignment="1" applyProtection="1">
      <alignment horizontal="center" vertical="center" wrapText="1"/>
      <protection locked="0"/>
    </xf>
    <xf numFmtId="0" fontId="110" fillId="0" borderId="51" xfId="0" applyFont="1" applyFill="1" applyBorder="1" applyAlignment="1" applyProtection="1">
      <alignment horizontal="center" vertical="center" wrapText="1" shrinkToFit="1"/>
      <protection locked="0"/>
    </xf>
    <xf numFmtId="1" fontId="77" fillId="0" borderId="53" xfId="0" applyNumberFormat="1" applyFont="1" applyFill="1" applyBorder="1" applyAlignment="1" applyProtection="1">
      <alignment horizontal="center" vertical="center" wrapText="1"/>
      <protection locked="0"/>
    </xf>
    <xf numFmtId="164" fontId="17" fillId="7" borderId="125" xfId="0" applyNumberFormat="1" applyFont="1" applyFill="1" applyBorder="1" applyAlignment="1" applyProtection="1">
      <alignment horizontal="center" vertical="center"/>
    </xf>
    <xf numFmtId="165" fontId="147" fillId="0" borderId="121" xfId="0" applyNumberFormat="1" applyFont="1" applyBorder="1" applyAlignment="1">
      <alignment horizontal="center" vertical="center"/>
    </xf>
    <xf numFmtId="165" fontId="148" fillId="0" borderId="124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173" fontId="16" fillId="7" borderId="71" xfId="0" applyNumberFormat="1" applyFont="1" applyFill="1" applyBorder="1" applyAlignment="1">
      <alignment horizontal="center" vertical="center"/>
    </xf>
    <xf numFmtId="0" fontId="151" fillId="0" borderId="95" xfId="0" applyFont="1" applyFill="1" applyBorder="1" applyAlignment="1" applyProtection="1">
      <alignment horizontal="center" vertical="center" wrapText="1"/>
      <protection locked="0"/>
    </xf>
    <xf numFmtId="0" fontId="152" fillId="0" borderId="51" xfId="0" applyFont="1" applyFill="1" applyBorder="1" applyAlignment="1" applyProtection="1">
      <alignment horizontal="center" vertical="center" wrapText="1"/>
      <protection locked="0"/>
    </xf>
    <xf numFmtId="0" fontId="150" fillId="0" borderId="51" xfId="0" applyFont="1" applyFill="1" applyBorder="1" applyAlignment="1" applyProtection="1">
      <alignment horizontal="center" vertical="center" wrapText="1"/>
      <protection locked="0"/>
    </xf>
    <xf numFmtId="173" fontId="77" fillId="27" borderId="71" xfId="0" applyNumberFormat="1" applyFont="1" applyFill="1" applyBorder="1" applyAlignment="1">
      <alignment horizontal="center" vertical="center"/>
    </xf>
    <xf numFmtId="173" fontId="77" fillId="33" borderId="71" xfId="0" applyNumberFormat="1" applyFont="1" applyFill="1" applyBorder="1" applyAlignment="1">
      <alignment horizontal="center" vertical="center"/>
    </xf>
    <xf numFmtId="173" fontId="77" fillId="32" borderId="71" xfId="0" applyNumberFormat="1" applyFont="1" applyFill="1" applyBorder="1" applyAlignment="1">
      <alignment horizontal="center" vertical="center"/>
    </xf>
    <xf numFmtId="0" fontId="149" fillId="0" borderId="52" xfId="0" applyNumberFormat="1" applyFont="1" applyFill="1" applyBorder="1" applyAlignment="1" applyProtection="1">
      <alignment horizontal="center" vertical="center" wrapText="1"/>
      <protection locked="0"/>
    </xf>
    <xf numFmtId="0" fontId="91" fillId="0" borderId="0" xfId="0" applyFont="1"/>
    <xf numFmtId="0" fontId="79" fillId="18" borderId="44" xfId="0" applyFont="1" applyFill="1" applyBorder="1"/>
    <xf numFmtId="1" fontId="109" fillId="0" borderId="114" xfId="0" applyNumberFormat="1" applyFont="1" applyFill="1" applyBorder="1" applyAlignment="1" applyProtection="1">
      <alignment horizontal="center" vertical="center"/>
      <protection locked="0"/>
    </xf>
    <xf numFmtId="0" fontId="109" fillId="0" borderId="51" xfId="0" quotePrefix="1" applyFont="1" applyFill="1" applyBorder="1" applyAlignment="1" applyProtection="1">
      <alignment horizontal="center" vertical="center" wrapText="1"/>
      <protection locked="0"/>
    </xf>
    <xf numFmtId="0" fontId="130" fillId="0" borderId="13" xfId="0" applyFont="1" applyFill="1" applyBorder="1" applyAlignment="1" applyProtection="1">
      <alignment horizontal="center" vertical="center"/>
      <protection locked="0"/>
    </xf>
    <xf numFmtId="0" fontId="1" fillId="35" borderId="0" xfId="0" applyFont="1" applyFill="1" applyBorder="1"/>
    <xf numFmtId="0" fontId="0" fillId="53" borderId="0" xfId="0" applyFill="1"/>
    <xf numFmtId="0" fontId="0" fillId="52" borderId="42" xfId="0" applyFill="1" applyBorder="1"/>
    <xf numFmtId="0" fontId="0" fillId="53" borderId="42" xfId="0" applyFill="1" applyBorder="1"/>
    <xf numFmtId="0" fontId="130" fillId="0" borderId="12" xfId="0" applyFont="1" applyFill="1" applyBorder="1" applyAlignment="1" applyProtection="1">
      <alignment horizontal="center" vertical="center"/>
      <protection locked="0"/>
    </xf>
    <xf numFmtId="0" fontId="52" fillId="0" borderId="77" xfId="0" applyFont="1" applyFill="1" applyBorder="1" applyAlignment="1" applyProtection="1">
      <alignment horizontal="center" vertical="center" wrapText="1"/>
      <protection locked="0"/>
    </xf>
    <xf numFmtId="2" fontId="133" fillId="31" borderId="0" xfId="0" applyNumberFormat="1" applyFont="1" applyFill="1" applyBorder="1" applyAlignment="1">
      <alignment horizontal="center"/>
    </xf>
    <xf numFmtId="2" fontId="133" fillId="0" borderId="0" xfId="0" applyNumberFormat="1" applyFont="1" applyFill="1" applyBorder="1" applyAlignment="1">
      <alignment horizontal="center"/>
    </xf>
    <xf numFmtId="2" fontId="133" fillId="0" borderId="0" xfId="0" applyNumberFormat="1" applyFont="1" applyAlignment="1">
      <alignment horizontal="center"/>
    </xf>
    <xf numFmtId="2" fontId="64" fillId="0" borderId="0" xfId="0" applyNumberFormat="1" applyFont="1" applyAlignment="1">
      <alignment horizontal="center"/>
    </xf>
    <xf numFmtId="2" fontId="62" fillId="0" borderId="0" xfId="0" applyNumberFormat="1" applyFont="1" applyAlignment="1">
      <alignment horizontal="center"/>
    </xf>
    <xf numFmtId="2" fontId="52" fillId="0" borderId="0" xfId="0" applyNumberFormat="1" applyFont="1" applyAlignment="1">
      <alignment horizontal="center"/>
    </xf>
    <xf numFmtId="0" fontId="17" fillId="7" borderId="34" xfId="0" applyFont="1" applyFill="1" applyBorder="1" applyAlignment="1" applyProtection="1">
      <alignment horizontal="center" vertical="center"/>
    </xf>
    <xf numFmtId="0" fontId="130" fillId="0" borderId="51" xfId="0" quotePrefix="1" applyFont="1" applyFill="1" applyBorder="1" applyAlignment="1" applyProtection="1">
      <alignment horizontal="center" vertical="center" wrapText="1"/>
      <protection locked="0"/>
    </xf>
    <xf numFmtId="0" fontId="157" fillId="0" borderId="51" xfId="0" applyFont="1" applyFill="1" applyBorder="1" applyAlignment="1" applyProtection="1">
      <alignment horizontal="center" vertical="center" wrapText="1"/>
      <protection locked="0"/>
    </xf>
    <xf numFmtId="0" fontId="78" fillId="0" borderId="77" xfId="0" applyFont="1" applyFill="1" applyBorder="1" applyAlignment="1" applyProtection="1">
      <alignment horizontal="center" vertical="center" wrapText="1"/>
      <protection locked="0"/>
    </xf>
    <xf numFmtId="0" fontId="98" fillId="0" borderId="51" xfId="0" applyFont="1" applyFill="1" applyBorder="1" applyAlignment="1" applyProtection="1">
      <alignment horizontal="center" vertical="center" wrapText="1" shrinkToFit="1"/>
      <protection locked="0"/>
    </xf>
    <xf numFmtId="0" fontId="59" fillId="0" borderId="53" xfId="0" quotePrefix="1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right"/>
    </xf>
    <xf numFmtId="167" fontId="109" fillId="0" borderId="13" xfId="0" applyNumberFormat="1" applyFont="1" applyFill="1" applyBorder="1" applyAlignment="1" applyProtection="1">
      <alignment horizontal="center" vertical="center"/>
    </xf>
    <xf numFmtId="0" fontId="45" fillId="0" borderId="51" xfId="0" applyFont="1" applyFill="1" applyBorder="1" applyAlignment="1" applyProtection="1">
      <alignment horizontal="center" vertical="center"/>
      <protection locked="0"/>
    </xf>
    <xf numFmtId="0" fontId="138" fillId="0" borderId="77" xfId="0" applyFont="1" applyFill="1" applyBorder="1" applyAlignment="1" applyProtection="1">
      <alignment horizontal="center" vertical="center" wrapText="1" shrinkToFit="1"/>
      <protection locked="0"/>
    </xf>
    <xf numFmtId="0" fontId="134" fillId="0" borderId="51" xfId="0" applyFont="1" applyFill="1" applyBorder="1" applyAlignment="1" applyProtection="1">
      <alignment horizontal="center" vertical="center" wrapText="1"/>
      <protection locked="0"/>
    </xf>
    <xf numFmtId="0" fontId="137" fillId="0" borderId="77" xfId="0" applyFont="1" applyFill="1" applyBorder="1" applyAlignment="1" applyProtection="1">
      <alignment horizontal="center" vertical="center" wrapText="1"/>
      <protection locked="0"/>
    </xf>
    <xf numFmtId="1" fontId="140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96" fillId="0" borderId="51" xfId="0" quotePrefix="1" applyFont="1" applyFill="1" applyBorder="1" applyAlignment="1" applyProtection="1">
      <alignment horizontal="center" vertical="center" wrapText="1"/>
      <protection locked="0"/>
    </xf>
    <xf numFmtId="0" fontId="136" fillId="0" borderId="51" xfId="0" applyFont="1" applyFill="1" applyBorder="1" applyAlignment="1" applyProtection="1">
      <alignment horizontal="center" vertical="center" wrapText="1"/>
      <protection locked="0"/>
    </xf>
    <xf numFmtId="0" fontId="77" fillId="0" borderId="51" xfId="0" quotePrefix="1" applyFont="1" applyFill="1" applyBorder="1" applyAlignment="1" applyProtection="1">
      <alignment horizontal="center" vertical="center" wrapText="1"/>
      <protection locked="0"/>
    </xf>
    <xf numFmtId="0" fontId="83" fillId="0" borderId="53" xfId="0" applyNumberFormat="1" applyFont="1" applyFill="1" applyBorder="1" applyAlignment="1" applyProtection="1">
      <alignment horizontal="center" vertical="center" wrapText="1"/>
      <protection locked="0"/>
    </xf>
    <xf numFmtId="164" fontId="130" fillId="0" borderId="13" xfId="0" applyNumberFormat="1" applyFont="1" applyFill="1" applyBorder="1" applyAlignment="1" applyProtection="1">
      <alignment horizontal="center" vertical="center"/>
      <protection locked="0"/>
    </xf>
    <xf numFmtId="164" fontId="109" fillId="0" borderId="13" xfId="0" applyNumberFormat="1" applyFont="1" applyFill="1" applyBorder="1" applyAlignment="1" applyProtection="1">
      <alignment horizontal="center" vertical="center"/>
      <protection locked="0"/>
    </xf>
    <xf numFmtId="14" fontId="55" fillId="39" borderId="111" xfId="0" quotePrefix="1" applyNumberFormat="1" applyFont="1" applyFill="1" applyBorder="1" applyAlignment="1" applyProtection="1">
      <alignment horizontal="center" vertical="center" wrapText="1"/>
      <protection locked="0"/>
    </xf>
    <xf numFmtId="14" fontId="55" fillId="40" borderId="128" xfId="0" quotePrefix="1" applyNumberFormat="1" applyFont="1" applyFill="1" applyBorder="1" applyAlignment="1" applyProtection="1">
      <alignment horizontal="center" vertical="center" wrapText="1"/>
      <protection locked="0"/>
    </xf>
    <xf numFmtId="0" fontId="139" fillId="0" borderId="51" xfId="0" applyFont="1" applyFill="1" applyBorder="1" applyAlignment="1" applyProtection="1">
      <alignment horizontal="center" vertical="center"/>
      <protection locked="0"/>
    </xf>
    <xf numFmtId="0" fontId="150" fillId="0" borderId="51" xfId="0" quotePrefix="1" applyFont="1" applyFill="1" applyBorder="1" applyAlignment="1" applyProtection="1">
      <alignment horizontal="center" vertical="center" wrapText="1"/>
      <protection locked="0"/>
    </xf>
    <xf numFmtId="0" fontId="142" fillId="0" borderId="51" xfId="0" applyFont="1" applyFill="1" applyBorder="1" applyAlignment="1" applyProtection="1">
      <alignment horizontal="center" vertical="center" wrapText="1"/>
      <protection locked="0"/>
    </xf>
    <xf numFmtId="0" fontId="154" fillId="0" borderId="51" xfId="0" applyFont="1" applyFill="1" applyBorder="1" applyAlignment="1" applyProtection="1">
      <alignment horizontal="center" vertical="center" wrapText="1"/>
      <protection locked="0"/>
    </xf>
    <xf numFmtId="1" fontId="77" fillId="0" borderId="53" xfId="0" applyNumberFormat="1" applyFont="1" applyFill="1" applyBorder="1" applyAlignment="1" applyProtection="1">
      <alignment horizontal="center" vertical="center"/>
      <protection locked="0"/>
    </xf>
    <xf numFmtId="1" fontId="153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155" fillId="0" borderId="53" xfId="0" applyFont="1" applyFill="1" applyBorder="1" applyAlignment="1" applyProtection="1">
      <alignment horizontal="center" vertical="center" wrapText="1"/>
      <protection locked="0"/>
    </xf>
    <xf numFmtId="0" fontId="110" fillId="0" borderId="94" xfId="0" applyFont="1" applyFill="1" applyBorder="1" applyAlignment="1" applyProtection="1">
      <alignment horizontal="center" vertical="center" wrapText="1"/>
      <protection locked="0"/>
    </xf>
    <xf numFmtId="0" fontId="112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1" fontId="141" fillId="0" borderId="51" xfId="0" quotePrefix="1" applyNumberFormat="1" applyFont="1" applyFill="1" applyBorder="1" applyAlignment="1" applyProtection="1">
      <alignment horizontal="center" vertical="center" wrapText="1" shrinkToFit="1"/>
      <protection locked="0"/>
    </xf>
    <xf numFmtId="164" fontId="135" fillId="47" borderId="13" xfId="0" applyNumberFormat="1" applyFont="1" applyFill="1" applyBorder="1" applyAlignment="1" applyProtection="1">
      <alignment horizontal="center" vertical="center"/>
      <protection locked="0"/>
    </xf>
    <xf numFmtId="164" fontId="82" fillId="0" borderId="16" xfId="0" applyNumberFormat="1" applyFont="1" applyBorder="1" applyAlignment="1">
      <alignment horizontal="center" vertical="center"/>
    </xf>
    <xf numFmtId="164" fontId="82" fillId="0" borderId="12" xfId="0" applyNumberFormat="1" applyFont="1" applyBorder="1" applyAlignment="1">
      <alignment horizontal="center" vertical="center"/>
    </xf>
    <xf numFmtId="164" fontId="113" fillId="51" borderId="12" xfId="0" applyNumberFormat="1" applyFont="1" applyFill="1" applyBorder="1" applyAlignment="1">
      <alignment horizontal="center" vertical="center"/>
    </xf>
    <xf numFmtId="14" fontId="55" fillId="45" borderId="111" xfId="0" quotePrefix="1" applyNumberFormat="1" applyFont="1" applyFill="1" applyBorder="1" applyAlignment="1" applyProtection="1">
      <alignment horizontal="center" vertical="center" wrapText="1"/>
      <protection locked="0"/>
    </xf>
    <xf numFmtId="14" fontId="55" fillId="44" borderId="111" xfId="0" quotePrefix="1" applyNumberFormat="1" applyFont="1" applyFill="1" applyBorder="1" applyAlignment="1" applyProtection="1">
      <alignment horizontal="center" vertical="center" wrapText="1"/>
      <protection locked="0"/>
    </xf>
    <xf numFmtId="0" fontId="144" fillId="0" borderId="51" xfId="0" applyFont="1" applyFill="1" applyBorder="1" applyAlignment="1" applyProtection="1">
      <alignment horizontal="center" vertical="center" wrapText="1"/>
      <protection locked="0"/>
    </xf>
    <xf numFmtId="0" fontId="55" fillId="0" borderId="51" xfId="0" applyFont="1" applyFill="1" applyBorder="1" applyAlignment="1" applyProtection="1">
      <alignment vertical="center" shrinkToFit="1"/>
      <protection locked="0"/>
    </xf>
    <xf numFmtId="0" fontId="76" fillId="0" borderId="51" xfId="0" applyFont="1" applyFill="1" applyBorder="1" applyAlignment="1" applyProtection="1">
      <alignment vertical="center" wrapText="1" shrinkToFit="1"/>
      <protection locked="0"/>
    </xf>
    <xf numFmtId="0" fontId="46" fillId="0" borderId="53" xfId="0" quotePrefix="1" applyNumberFormat="1" applyFont="1" applyFill="1" applyBorder="1" applyAlignment="1" applyProtection="1">
      <alignment horizontal="center" vertical="center" wrapText="1"/>
      <protection locked="0"/>
    </xf>
    <xf numFmtId="0" fontId="20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98" fillId="0" borderId="53" xfId="0" applyFont="1" applyFill="1" applyBorder="1" applyAlignment="1" applyProtection="1">
      <alignment vertical="center" wrapText="1"/>
      <protection locked="0"/>
    </xf>
    <xf numFmtId="167" fontId="110" fillId="0" borderId="12" xfId="0" applyNumberFormat="1" applyFont="1" applyFill="1" applyBorder="1" applyAlignment="1" applyProtection="1">
      <alignment horizontal="center"/>
      <protection locked="0"/>
    </xf>
    <xf numFmtId="0" fontId="159" fillId="0" borderId="13" xfId="0" applyFont="1" applyFill="1" applyBorder="1" applyAlignment="1" applyProtection="1">
      <alignment horizontal="center" vertical="center"/>
      <protection locked="0"/>
    </xf>
    <xf numFmtId="0" fontId="159" fillId="0" borderId="3" xfId="0" applyFont="1" applyFill="1" applyBorder="1" applyAlignment="1" applyProtection="1">
      <alignment horizontal="center" vertical="center"/>
      <protection locked="0"/>
    </xf>
    <xf numFmtId="0" fontId="83" fillId="0" borderId="53" xfId="0" applyFont="1" applyFill="1" applyBorder="1" applyAlignment="1" applyProtection="1">
      <alignment horizontal="center" vertical="center" wrapText="1"/>
      <protection locked="0"/>
    </xf>
    <xf numFmtId="0" fontId="87" fillId="24" borderId="13" xfId="0" applyFont="1" applyFill="1" applyBorder="1" applyAlignment="1" applyProtection="1">
      <alignment horizontal="center" vertical="center"/>
    </xf>
    <xf numFmtId="167" fontId="110" fillId="0" borderId="13" xfId="0" applyNumberFormat="1" applyFont="1" applyFill="1" applyBorder="1" applyAlignment="1" applyProtection="1">
      <alignment horizontal="center"/>
      <protection locked="0"/>
    </xf>
    <xf numFmtId="20" fontId="0" fillId="55" borderId="12" xfId="0" applyNumberFormat="1" applyFill="1" applyBorder="1" applyAlignment="1" applyProtection="1">
      <alignment horizontal="center" vertical="center"/>
    </xf>
    <xf numFmtId="164" fontId="0" fillId="3" borderId="4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20" borderId="0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22" borderId="4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64" fontId="0" fillId="20" borderId="7" xfId="0" applyNumberFormat="1" applyFill="1" applyBorder="1" applyAlignment="1">
      <alignment horizontal="center"/>
    </xf>
    <xf numFmtId="164" fontId="0" fillId="21" borderId="7" xfId="0" applyNumberFormat="1" applyFill="1" applyBorder="1" applyAlignment="1">
      <alignment horizontal="center"/>
    </xf>
    <xf numFmtId="164" fontId="0" fillId="22" borderId="7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1" fontId="41" fillId="52" borderId="37" xfId="0" applyNumberFormat="1" applyFont="1" applyFill="1" applyBorder="1" applyAlignment="1">
      <alignment horizontal="center"/>
    </xf>
    <xf numFmtId="0" fontId="41" fillId="52" borderId="36" xfId="0" applyFont="1" applyFill="1" applyBorder="1" applyAlignment="1">
      <alignment horizontal="center"/>
    </xf>
    <xf numFmtId="1" fontId="52" fillId="52" borderId="36" xfId="0" quotePrefix="1" applyNumberFormat="1" applyFont="1" applyFill="1" applyBorder="1" applyAlignment="1">
      <alignment horizontal="center"/>
    </xf>
    <xf numFmtId="1" fontId="52" fillId="52" borderId="37" xfId="0" applyNumberFormat="1" applyFont="1" applyFill="1" applyBorder="1" applyAlignment="1">
      <alignment horizontal="center"/>
    </xf>
    <xf numFmtId="1" fontId="41" fillId="52" borderId="38" xfId="0" applyNumberFormat="1" applyFont="1" applyFill="1" applyBorder="1" applyAlignment="1">
      <alignment horizontal="center"/>
    </xf>
    <xf numFmtId="1" fontId="52" fillId="52" borderId="36" xfId="0" applyNumberFormat="1" applyFont="1" applyFill="1" applyBorder="1" applyAlignment="1">
      <alignment horizontal="center"/>
    </xf>
    <xf numFmtId="1" fontId="52" fillId="52" borderId="38" xfId="0" applyNumberFormat="1" applyFont="1" applyFill="1" applyBorder="1" applyAlignment="1">
      <alignment horizontal="center"/>
    </xf>
    <xf numFmtId="164" fontId="17" fillId="8" borderId="4" xfId="0" applyNumberFormat="1" applyFont="1" applyFill="1" applyBorder="1" applyAlignment="1">
      <alignment horizontal="center"/>
    </xf>
    <xf numFmtId="164" fontId="17" fillId="8" borderId="2" xfId="0" applyNumberFormat="1" applyFont="1" applyFill="1" applyBorder="1" applyAlignment="1">
      <alignment horizontal="center"/>
    </xf>
    <xf numFmtId="164" fontId="17" fillId="8" borderId="10" xfId="0" applyNumberFormat="1" applyFont="1" applyFill="1" applyBorder="1" applyAlignment="1">
      <alignment horizontal="center"/>
    </xf>
    <xf numFmtId="164" fontId="17" fillId="8" borderId="5" xfId="0" applyNumberFormat="1" applyFont="1" applyFill="1" applyBorder="1" applyAlignment="1">
      <alignment horizontal="center"/>
    </xf>
    <xf numFmtId="164" fontId="17" fillId="8" borderId="3" xfId="0" applyNumberFormat="1" applyFont="1" applyFill="1" applyBorder="1" applyAlignment="1">
      <alignment horizontal="center"/>
    </xf>
    <xf numFmtId="164" fontId="17" fillId="8" borderId="11" xfId="0" applyNumberFormat="1" applyFont="1" applyFill="1" applyBorder="1" applyAlignment="1">
      <alignment horizontal="center"/>
    </xf>
    <xf numFmtId="164" fontId="0" fillId="7" borderId="4" xfId="0" applyNumberFormat="1" applyFill="1" applyBorder="1" applyAlignment="1">
      <alignment horizontal="center"/>
    </xf>
    <xf numFmtId="164" fontId="0" fillId="7" borderId="0" xfId="0" applyNumberForma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164" fontId="0" fillId="7" borderId="7" xfId="0" applyNumberFormat="1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17" fillId="8" borderId="0" xfId="0" applyNumberFormat="1" applyFont="1" applyFill="1" applyBorder="1" applyAlignment="1">
      <alignment horizontal="center"/>
    </xf>
    <xf numFmtId="164" fontId="17" fillId="8" borderId="6" xfId="0" applyNumberFormat="1" applyFon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41" fillId="17" borderId="37" xfId="0" applyFont="1" applyFill="1" applyBorder="1" applyAlignment="1">
      <alignment horizontal="center"/>
    </xf>
    <xf numFmtId="1" fontId="52" fillId="52" borderId="39" xfId="0" quotePrefix="1" applyNumberFormat="1" applyFont="1" applyFill="1" applyBorder="1" applyAlignment="1">
      <alignment horizontal="center"/>
    </xf>
    <xf numFmtId="1" fontId="52" fillId="52" borderId="40" xfId="0" quotePrefix="1" applyNumberFormat="1" applyFont="1" applyFill="1" applyBorder="1" applyAlignment="1">
      <alignment horizontal="center"/>
    </xf>
    <xf numFmtId="1" fontId="52" fillId="52" borderId="41" xfId="0" quotePrefix="1" applyNumberFormat="1" applyFont="1" applyFill="1" applyBorder="1" applyAlignment="1">
      <alignment horizontal="center"/>
    </xf>
    <xf numFmtId="1" fontId="52" fillId="52" borderId="37" xfId="0" quotePrefix="1" applyNumberFormat="1" applyFont="1" applyFill="1" applyBorder="1" applyAlignment="1">
      <alignment horizontal="center"/>
    </xf>
    <xf numFmtId="1" fontId="52" fillId="52" borderId="38" xfId="0" quotePrefix="1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164" fontId="133" fillId="0" borderId="0" xfId="0" applyNumberFormat="1" applyFont="1" applyAlignment="1">
      <alignment horizontal="center"/>
    </xf>
    <xf numFmtId="164" fontId="81" fillId="0" borderId="0" xfId="0" applyNumberFormat="1" applyFont="1" applyAlignment="1">
      <alignment horizontal="center"/>
    </xf>
    <xf numFmtId="164" fontId="133" fillId="0" borderId="0" xfId="0" applyNumberFormat="1" applyFont="1" applyFill="1" applyBorder="1" applyAlignment="1">
      <alignment horizontal="center"/>
    </xf>
    <xf numFmtId="164" fontId="71" fillId="0" borderId="0" xfId="0" applyNumberFormat="1" applyFont="1" applyAlignment="1">
      <alignment horizontal="center"/>
    </xf>
    <xf numFmtId="164" fontId="79" fillId="0" borderId="13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99" fillId="0" borderId="73" xfId="0" applyNumberFormat="1" applyFont="1" applyBorder="1" applyAlignment="1">
      <alignment horizontal="center"/>
    </xf>
    <xf numFmtId="164" fontId="79" fillId="23" borderId="73" xfId="0" applyNumberFormat="1" applyFont="1" applyFill="1" applyBorder="1" applyAlignment="1">
      <alignment horizontal="center"/>
    </xf>
    <xf numFmtId="164" fontId="99" fillId="24" borderId="73" xfId="0" applyNumberFormat="1" applyFont="1" applyFill="1" applyBorder="1" applyAlignment="1">
      <alignment horizontal="center"/>
    </xf>
    <xf numFmtId="164" fontId="79" fillId="24" borderId="73" xfId="0" applyNumberFormat="1" applyFont="1" applyFill="1" applyBorder="1" applyAlignment="1">
      <alignment horizontal="center"/>
    </xf>
    <xf numFmtId="164" fontId="158" fillId="54" borderId="73" xfId="0" applyNumberFormat="1" applyFont="1" applyFill="1" applyBorder="1" applyAlignment="1">
      <alignment horizontal="center"/>
    </xf>
    <xf numFmtId="164" fontId="91" fillId="52" borderId="73" xfId="0" applyNumberFormat="1" applyFont="1" applyFill="1" applyBorder="1" applyAlignment="1">
      <alignment horizontal="center"/>
    </xf>
    <xf numFmtId="164" fontId="79" fillId="53" borderId="73" xfId="0" applyNumberFormat="1" applyFont="1" applyFill="1" applyBorder="1" applyAlignment="1">
      <alignment horizontal="center"/>
    </xf>
    <xf numFmtId="164" fontId="99" fillId="0" borderId="100" xfId="0" applyNumberFormat="1" applyFont="1" applyBorder="1" applyAlignment="1">
      <alignment horizontal="center"/>
    </xf>
    <xf numFmtId="164" fontId="79" fillId="0" borderId="100" xfId="0" applyNumberFormat="1" applyFont="1" applyBorder="1" applyAlignment="1">
      <alignment horizontal="center"/>
    </xf>
    <xf numFmtId="164" fontId="0" fillId="0" borderId="0" xfId="0" applyNumberFormat="1" applyAlignment="1">
      <alignment shrinkToFit="1"/>
    </xf>
    <xf numFmtId="0" fontId="143" fillId="0" borderId="0" xfId="0" applyFont="1" applyAlignment="1">
      <alignment shrinkToFit="1"/>
    </xf>
    <xf numFmtId="164" fontId="163" fillId="23" borderId="73" xfId="0" applyNumberFormat="1" applyFont="1" applyFill="1" applyBorder="1" applyAlignment="1">
      <alignment horizontal="center"/>
    </xf>
    <xf numFmtId="164" fontId="163" fillId="24" borderId="73" xfId="0" applyNumberFormat="1" applyFont="1" applyFill="1" applyBorder="1" applyAlignment="1">
      <alignment horizontal="center"/>
    </xf>
    <xf numFmtId="164" fontId="163" fillId="52" borderId="73" xfId="0" applyNumberFormat="1" applyFont="1" applyFill="1" applyBorder="1" applyAlignment="1">
      <alignment horizontal="center"/>
    </xf>
    <xf numFmtId="164" fontId="163" fillId="53" borderId="73" xfId="0" applyNumberFormat="1" applyFont="1" applyFill="1" applyBorder="1" applyAlignment="1">
      <alignment horizontal="center"/>
    </xf>
    <xf numFmtId="164" fontId="163" fillId="0" borderId="100" xfId="0" applyNumberFormat="1" applyFont="1" applyBorder="1" applyAlignment="1">
      <alignment horizontal="center"/>
    </xf>
    <xf numFmtId="164" fontId="79" fillId="0" borderId="13" xfId="0" applyNumberFormat="1" applyFont="1" applyFill="1" applyBorder="1" applyAlignment="1" applyProtection="1">
      <alignment horizontal="center"/>
      <protection locked="0"/>
    </xf>
    <xf numFmtId="164" fontId="79" fillId="0" borderId="16" xfId="0" applyNumberFormat="1" applyFont="1" applyFill="1" applyBorder="1" applyAlignment="1" applyProtection="1">
      <alignment horizontal="center" vertical="center"/>
      <protection locked="0"/>
    </xf>
    <xf numFmtId="20" fontId="91" fillId="0" borderId="42" xfId="0" applyNumberFormat="1" applyFont="1" applyFill="1" applyBorder="1" applyAlignment="1">
      <alignment horizontal="center"/>
    </xf>
    <xf numFmtId="1" fontId="91" fillId="0" borderId="0" xfId="0" applyNumberFormat="1" applyFont="1" applyFill="1" applyBorder="1"/>
    <xf numFmtId="0" fontId="91" fillId="0" borderId="43" xfId="0" applyFont="1" applyFill="1" applyBorder="1"/>
    <xf numFmtId="0" fontId="91" fillId="0" borderId="0" xfId="0" applyFont="1" applyFill="1"/>
    <xf numFmtId="1" fontId="91" fillId="0" borderId="45" xfId="0" applyNumberFormat="1" applyFont="1" applyFill="1" applyBorder="1"/>
    <xf numFmtId="0" fontId="91" fillId="0" borderId="46" xfId="0" applyFont="1" applyFill="1" applyBorder="1"/>
    <xf numFmtId="1" fontId="98" fillId="27" borderId="0" xfId="0" applyNumberFormat="1" applyFont="1" applyFill="1" applyBorder="1" applyAlignment="1" applyProtection="1">
      <alignment horizontal="center" vertical="center"/>
    </xf>
    <xf numFmtId="0" fontId="79" fillId="0" borderId="79" xfId="0" applyFont="1" applyFill="1" applyBorder="1" applyAlignment="1" applyProtection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/>
    <xf numFmtId="1" fontId="110" fillId="0" borderId="79" xfId="0" quotePrefix="1" applyNumberFormat="1" applyFont="1" applyFill="1" applyBorder="1" applyAlignment="1" applyProtection="1">
      <alignment horizontal="center" vertical="center"/>
      <protection locked="0"/>
    </xf>
    <xf numFmtId="1" fontId="79" fillId="55" borderId="79" xfId="0" applyNumberFormat="1" applyFont="1" applyFill="1" applyBorder="1" applyAlignment="1" applyProtection="1">
      <alignment horizontal="center" vertical="center"/>
      <protection locked="0"/>
    </xf>
    <xf numFmtId="1" fontId="79" fillId="0" borderId="99" xfId="0" applyNumberFormat="1" applyFont="1" applyFill="1" applyBorder="1" applyAlignment="1" applyProtection="1">
      <alignment horizontal="center" vertical="center"/>
      <protection locked="0"/>
    </xf>
    <xf numFmtId="1" fontId="77" fillId="0" borderId="100" xfId="0" applyNumberFormat="1" applyFont="1" applyFill="1" applyBorder="1" applyAlignment="1" applyProtection="1">
      <alignment horizontal="center" vertical="center"/>
      <protection locked="0"/>
    </xf>
    <xf numFmtId="1" fontId="109" fillId="0" borderId="99" xfId="0" applyNumberFormat="1" applyFont="1" applyFill="1" applyBorder="1" applyAlignment="1" applyProtection="1">
      <alignment horizontal="center" vertical="center"/>
      <protection locked="0"/>
    </xf>
    <xf numFmtId="1" fontId="109" fillId="0" borderId="100" xfId="0" applyNumberFormat="1" applyFont="1" applyFill="1" applyBorder="1" applyAlignment="1" applyProtection="1">
      <alignment horizontal="center" vertical="center"/>
      <protection locked="0"/>
    </xf>
    <xf numFmtId="167" fontId="109" fillId="0" borderId="79" xfId="0" applyNumberFormat="1" applyFont="1" applyFill="1" applyBorder="1" applyAlignment="1" applyProtection="1">
      <alignment horizontal="center"/>
      <protection locked="0"/>
    </xf>
    <xf numFmtId="1" fontId="109" fillId="0" borderId="79" xfId="0" applyNumberFormat="1" applyFont="1" applyFill="1" applyBorder="1" applyAlignment="1" applyProtection="1">
      <alignment horizontal="center" vertical="center"/>
      <protection locked="0"/>
    </xf>
    <xf numFmtId="0" fontId="143" fillId="0" borderId="79" xfId="0" applyFont="1" applyFill="1" applyBorder="1" applyAlignment="1">
      <alignment horizontal="center"/>
    </xf>
    <xf numFmtId="0" fontId="91" fillId="0" borderId="79" xfId="0" applyFont="1" applyFill="1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0" xfId="0" applyBorder="1"/>
    <xf numFmtId="0" fontId="0" fillId="0" borderId="73" xfId="0" applyBorder="1" applyAlignment="1">
      <alignment horizontal="center"/>
    </xf>
    <xf numFmtId="2" fontId="164" fillId="27" borderId="9" xfId="0" applyNumberFormat="1" applyFont="1" applyFill="1" applyBorder="1" applyAlignment="1" applyProtection="1">
      <alignment horizontal="center" vertical="center"/>
    </xf>
    <xf numFmtId="164" fontId="165" fillId="27" borderId="47" xfId="0" applyNumberFormat="1" applyFont="1" applyFill="1" applyBorder="1" applyAlignment="1" applyProtection="1">
      <alignment horizontal="center" vertical="center"/>
      <protection locked="0"/>
    </xf>
    <xf numFmtId="164" fontId="124" fillId="0" borderId="9" xfId="0" applyNumberFormat="1" applyFont="1" applyFill="1" applyBorder="1" applyAlignment="1" applyProtection="1">
      <alignment horizontal="center" vertical="center"/>
      <protection locked="0"/>
    </xf>
    <xf numFmtId="0" fontId="0" fillId="35" borderId="13" xfId="0" applyFill="1" applyBorder="1" applyAlignment="1">
      <alignment horizontal="center"/>
    </xf>
    <xf numFmtId="0" fontId="0" fillId="23" borderId="13" xfId="0" applyFill="1" applyBorder="1" applyAlignment="1">
      <alignment horizontal="center"/>
    </xf>
    <xf numFmtId="0" fontId="0" fillId="57" borderId="13" xfId="0" applyFill="1" applyBorder="1" applyAlignment="1">
      <alignment horizontal="center"/>
    </xf>
    <xf numFmtId="0" fontId="0" fillId="49" borderId="13" xfId="0" applyFill="1" applyBorder="1" applyAlignment="1">
      <alignment horizontal="center"/>
    </xf>
    <xf numFmtId="0" fontId="0" fillId="48" borderId="13" xfId="0" applyFill="1" applyBorder="1" applyAlignment="1">
      <alignment horizontal="center"/>
    </xf>
    <xf numFmtId="0" fontId="46" fillId="58" borderId="13" xfId="0" applyFont="1" applyFill="1" applyBorder="1" applyAlignment="1">
      <alignment horizontal="center"/>
    </xf>
    <xf numFmtId="0" fontId="0" fillId="58" borderId="13" xfId="0" applyFill="1" applyBorder="1" applyAlignment="1">
      <alignment horizontal="center"/>
    </xf>
    <xf numFmtId="0" fontId="46" fillId="29" borderId="13" xfId="0" applyFont="1" applyFill="1" applyBorder="1"/>
    <xf numFmtId="0" fontId="0" fillId="29" borderId="13" xfId="0" applyFill="1" applyBorder="1" applyAlignment="1">
      <alignment horizontal="center"/>
    </xf>
    <xf numFmtId="0" fontId="158" fillId="27" borderId="131" xfId="0" applyFont="1" applyFill="1" applyBorder="1" applyAlignment="1">
      <alignment horizontal="center"/>
    </xf>
    <xf numFmtId="1" fontId="79" fillId="0" borderId="0" xfId="0" applyNumberFormat="1" applyFont="1" applyFill="1" applyBorder="1" applyAlignment="1" applyProtection="1">
      <alignment horizontal="right" vertical="center"/>
    </xf>
    <xf numFmtId="0" fontId="163" fillId="0" borderId="0" xfId="0" applyFont="1" applyAlignment="1">
      <alignment vertical="center"/>
    </xf>
    <xf numFmtId="174" fontId="111" fillId="5" borderId="90" xfId="0" applyNumberFormat="1" applyFont="1" applyFill="1" applyBorder="1" applyAlignment="1">
      <alignment horizontal="center" vertical="center"/>
    </xf>
    <xf numFmtId="174" fontId="111" fillId="5" borderId="71" xfId="0" applyNumberFormat="1" applyFont="1" applyFill="1" applyBorder="1" applyAlignment="1">
      <alignment horizontal="center" vertical="center"/>
    </xf>
    <xf numFmtId="0" fontId="91" fillId="0" borderId="48" xfId="0" applyFont="1" applyBorder="1" applyAlignment="1">
      <alignment horizontal="center" vertical="center" wrapText="1"/>
    </xf>
    <xf numFmtId="0" fontId="91" fillId="0" borderId="49" xfId="0" applyFont="1" applyBorder="1" applyAlignment="1">
      <alignment horizontal="center" vertical="center" wrapText="1"/>
    </xf>
    <xf numFmtId="0" fontId="111" fillId="5" borderId="49" xfId="0" applyFont="1" applyFill="1" applyBorder="1" applyAlignment="1">
      <alignment horizontal="center" vertical="center" wrapText="1"/>
    </xf>
    <xf numFmtId="0" fontId="0" fillId="0" borderId="44" xfId="0" applyBorder="1"/>
    <xf numFmtId="0" fontId="0" fillId="0" borderId="37" xfId="0" applyBorder="1"/>
    <xf numFmtId="0" fontId="0" fillId="0" borderId="38" xfId="0" applyBorder="1"/>
    <xf numFmtId="0" fontId="0" fillId="0" borderId="45" xfId="0" applyBorder="1"/>
    <xf numFmtId="0" fontId="0" fillId="0" borderId="36" xfId="0" applyBorder="1"/>
    <xf numFmtId="0" fontId="0" fillId="0" borderId="46" xfId="0" applyBorder="1"/>
    <xf numFmtId="0" fontId="77" fillId="0" borderId="36" xfId="0" applyFont="1" applyFill="1" applyBorder="1" applyAlignment="1" applyProtection="1">
      <alignment horizontal="left" vertical="center"/>
    </xf>
    <xf numFmtId="0" fontId="77" fillId="0" borderId="37" xfId="0" applyFont="1" applyFill="1" applyBorder="1" applyAlignment="1" applyProtection="1">
      <alignment horizontal="left" vertical="center"/>
    </xf>
    <xf numFmtId="0" fontId="77" fillId="0" borderId="38" xfId="0" applyFont="1" applyFill="1" applyBorder="1" applyAlignment="1" applyProtection="1">
      <alignment horizontal="left" vertical="center"/>
    </xf>
    <xf numFmtId="0" fontId="110" fillId="0" borderId="37" xfId="0" applyFont="1" applyFill="1" applyBorder="1" applyAlignment="1" applyProtection="1">
      <alignment horizontal="left" vertical="center"/>
    </xf>
    <xf numFmtId="0" fontId="110" fillId="0" borderId="38" xfId="0" applyFont="1" applyFill="1" applyBorder="1" applyAlignment="1" applyProtection="1">
      <alignment horizontal="left" vertical="center"/>
    </xf>
    <xf numFmtId="0" fontId="79" fillId="0" borderId="37" xfId="0" applyFont="1" applyFill="1" applyBorder="1" applyAlignment="1" applyProtection="1">
      <alignment horizontal="left" vertical="center"/>
    </xf>
    <xf numFmtId="0" fontId="79" fillId="0" borderId="38" xfId="0" applyFont="1" applyFill="1" applyBorder="1" applyAlignment="1" applyProtection="1">
      <alignment horizontal="left" vertical="center"/>
    </xf>
    <xf numFmtId="0" fontId="0" fillId="0" borderId="40" xfId="0" applyBorder="1"/>
    <xf numFmtId="0" fontId="0" fillId="0" borderId="0" xfId="0" applyBorder="1"/>
    <xf numFmtId="0" fontId="109" fillId="0" borderId="37" xfId="0" applyFont="1" applyFill="1" applyBorder="1" applyAlignment="1" applyProtection="1">
      <alignment horizontal="left" vertical="center"/>
    </xf>
    <xf numFmtId="0" fontId="79" fillId="0" borderId="40" xfId="0" applyFont="1" applyFill="1" applyBorder="1" applyAlignment="1" applyProtection="1">
      <alignment horizontal="left" vertical="center"/>
    </xf>
    <xf numFmtId="0" fontId="79" fillId="0" borderId="45" xfId="0" applyFont="1" applyFill="1" applyBorder="1" applyAlignment="1" applyProtection="1">
      <alignment horizontal="left" vertical="center"/>
    </xf>
    <xf numFmtId="0" fontId="109" fillId="0" borderId="40" xfId="0" applyFont="1" applyFill="1" applyBorder="1" applyAlignment="1" applyProtection="1">
      <alignment horizontal="left" vertical="center"/>
    </xf>
    <xf numFmtId="0" fontId="109" fillId="0" borderId="45" xfId="0" applyFont="1" applyFill="1" applyBorder="1" applyAlignment="1" applyProtection="1">
      <alignment horizontal="left" vertical="center"/>
    </xf>
    <xf numFmtId="0" fontId="0" fillId="0" borderId="41" xfId="0" applyBorder="1"/>
    <xf numFmtId="0" fontId="0" fillId="29" borderId="12" xfId="0" applyFill="1" applyBorder="1" applyAlignment="1">
      <alignment horizontal="center" vertical="center"/>
    </xf>
    <xf numFmtId="0" fontId="0" fillId="29" borderId="106" xfId="0" applyFill="1" applyBorder="1" applyAlignment="1">
      <alignment horizontal="center" vertical="center"/>
    </xf>
    <xf numFmtId="0" fontId="0" fillId="29" borderId="16" xfId="0" applyFill="1" applyBorder="1" applyAlignment="1">
      <alignment horizontal="center" vertical="center"/>
    </xf>
    <xf numFmtId="164" fontId="21" fillId="0" borderId="39" xfId="0" applyNumberFormat="1" applyFont="1" applyFill="1" applyBorder="1" applyAlignment="1" applyProtection="1">
      <alignment horizontal="center" vertical="center"/>
      <protection locked="0"/>
    </xf>
    <xf numFmtId="164" fontId="21" fillId="0" borderId="41" xfId="0" applyNumberFormat="1" applyFont="1" applyFill="1" applyBorder="1" applyAlignment="1" applyProtection="1">
      <alignment horizontal="center" vertical="center"/>
      <protection locked="0"/>
    </xf>
    <xf numFmtId="164" fontId="21" fillId="0" borderId="42" xfId="0" applyNumberFormat="1" applyFont="1" applyFill="1" applyBorder="1" applyAlignment="1" applyProtection="1">
      <alignment horizontal="center" vertical="center"/>
      <protection locked="0"/>
    </xf>
    <xf numFmtId="164" fontId="21" fillId="0" borderId="43" xfId="0" applyNumberFormat="1" applyFont="1" applyFill="1" applyBorder="1" applyAlignment="1" applyProtection="1">
      <alignment horizontal="center" vertical="center"/>
      <protection locked="0"/>
    </xf>
    <xf numFmtId="164" fontId="21" fillId="0" borderId="44" xfId="0" applyNumberFormat="1" applyFont="1" applyFill="1" applyBorder="1" applyAlignment="1" applyProtection="1">
      <alignment horizontal="center" vertical="center"/>
      <protection locked="0"/>
    </xf>
    <xf numFmtId="164" fontId="21" fillId="0" borderId="46" xfId="0" applyNumberFormat="1" applyFont="1" applyFill="1" applyBorder="1" applyAlignment="1" applyProtection="1">
      <alignment horizontal="center" vertical="center"/>
      <protection locked="0"/>
    </xf>
    <xf numFmtId="164" fontId="22" fillId="0" borderId="39" xfId="0" applyNumberFormat="1" applyFont="1" applyFill="1" applyBorder="1" applyAlignment="1" applyProtection="1">
      <alignment horizontal="center" vertical="center"/>
      <protection locked="0"/>
    </xf>
    <xf numFmtId="164" fontId="22" fillId="0" borderId="41" xfId="0" applyNumberFormat="1" applyFont="1" applyFill="1" applyBorder="1" applyAlignment="1" applyProtection="1">
      <alignment horizontal="center" vertical="center"/>
      <protection locked="0"/>
    </xf>
    <xf numFmtId="164" fontId="22" fillId="0" borderId="42" xfId="0" applyNumberFormat="1" applyFont="1" applyFill="1" applyBorder="1" applyAlignment="1" applyProtection="1">
      <alignment horizontal="center" vertical="center"/>
      <protection locked="0"/>
    </xf>
    <xf numFmtId="164" fontId="22" fillId="0" borderId="43" xfId="0" applyNumberFormat="1" applyFont="1" applyFill="1" applyBorder="1" applyAlignment="1" applyProtection="1">
      <alignment horizontal="center" vertical="center"/>
      <protection locked="0"/>
    </xf>
    <xf numFmtId="164" fontId="22" fillId="0" borderId="44" xfId="0" applyNumberFormat="1" applyFont="1" applyFill="1" applyBorder="1" applyAlignment="1" applyProtection="1">
      <alignment horizontal="center" vertical="center"/>
      <protection locked="0"/>
    </xf>
    <xf numFmtId="164" fontId="22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12" borderId="102" xfId="0" applyFill="1" applyBorder="1" applyAlignment="1" applyProtection="1">
      <alignment horizontal="center" vertical="center"/>
    </xf>
    <xf numFmtId="0" fontId="0" fillId="12" borderId="103" xfId="0" applyFill="1" applyBorder="1" applyAlignment="1" applyProtection="1">
      <alignment horizontal="center" vertical="center"/>
    </xf>
    <xf numFmtId="0" fontId="164" fillId="27" borderId="47" xfId="0" applyFont="1" applyFill="1" applyBorder="1" applyAlignment="1" applyProtection="1">
      <alignment horizontal="center" vertical="center"/>
      <protection locked="0"/>
    </xf>
    <xf numFmtId="0" fontId="0" fillId="12" borderId="0" xfId="0" applyFill="1" applyBorder="1" applyAlignment="1" applyProtection="1">
      <alignment horizontal="center" vertical="center"/>
    </xf>
    <xf numFmtId="0" fontId="0" fillId="12" borderId="6" xfId="0" applyFill="1" applyBorder="1" applyAlignment="1" applyProtection="1">
      <alignment horizontal="center" vertical="center"/>
    </xf>
    <xf numFmtId="0" fontId="0" fillId="12" borderId="7" xfId="0" applyFill="1" applyBorder="1" applyAlignment="1" applyProtection="1">
      <alignment horizontal="center" vertical="center"/>
    </xf>
    <xf numFmtId="0" fontId="0" fillId="12" borderId="8" xfId="0" applyFill="1" applyBorder="1" applyAlignment="1" applyProtection="1">
      <alignment horizontal="center" vertical="center"/>
    </xf>
    <xf numFmtId="0" fontId="164" fillId="27" borderId="21" xfId="0" applyFont="1" applyFill="1" applyBorder="1" applyAlignment="1" applyProtection="1">
      <alignment horizontal="center" vertical="center"/>
      <protection locked="0"/>
    </xf>
    <xf numFmtId="0" fontId="164" fillId="27" borderId="22" xfId="0" applyFont="1" applyFill="1" applyBorder="1" applyAlignment="1" applyProtection="1">
      <alignment horizontal="center" vertical="center"/>
      <protection locked="0"/>
    </xf>
    <xf numFmtId="0" fontId="17" fillId="2" borderId="32" xfId="0" applyFont="1" applyFill="1" applyBorder="1" applyAlignment="1" applyProtection="1">
      <alignment horizontal="center" vertical="center"/>
    </xf>
    <xf numFmtId="0" fontId="17" fillId="2" borderId="34" xfId="0" applyFont="1" applyFill="1" applyBorder="1" applyAlignment="1" applyProtection="1">
      <alignment horizontal="center" vertical="center"/>
    </xf>
    <xf numFmtId="0" fontId="166" fillId="56" borderId="129" xfId="0" applyFont="1" applyFill="1" applyBorder="1" applyAlignment="1" applyProtection="1">
      <alignment horizontal="center" vertical="center"/>
      <protection locked="0"/>
    </xf>
    <xf numFmtId="0" fontId="166" fillId="56" borderId="130" xfId="0" applyFont="1" applyFill="1" applyBorder="1" applyAlignment="1" applyProtection="1">
      <alignment horizontal="center" vertical="center"/>
      <protection locked="0"/>
    </xf>
    <xf numFmtId="0" fontId="17" fillId="4" borderId="32" xfId="0" applyFont="1" applyFill="1" applyBorder="1" applyAlignment="1" applyProtection="1">
      <alignment horizontal="center" vertical="center"/>
    </xf>
    <xf numFmtId="0" fontId="17" fillId="4" borderId="34" xfId="0" applyFont="1" applyFill="1" applyBorder="1" applyAlignment="1" applyProtection="1">
      <alignment horizontal="center" vertical="center"/>
    </xf>
    <xf numFmtId="0" fontId="17" fillId="3" borderId="32" xfId="0" applyFont="1" applyFill="1" applyBorder="1" applyAlignment="1" applyProtection="1">
      <alignment horizontal="center" vertical="center"/>
    </xf>
    <xf numFmtId="0" fontId="17" fillId="3" borderId="35" xfId="0" applyFont="1" applyFill="1" applyBorder="1" applyAlignment="1" applyProtection="1">
      <alignment horizontal="center" vertical="center"/>
    </xf>
    <xf numFmtId="0" fontId="4" fillId="9" borderId="12" xfId="0" applyFont="1" applyFill="1" applyBorder="1" applyAlignment="1" applyProtection="1">
      <alignment horizontal="center" vertical="center"/>
    </xf>
    <xf numFmtId="0" fontId="4" fillId="9" borderId="16" xfId="0" applyFont="1" applyFill="1" applyBorder="1" applyAlignment="1" applyProtection="1">
      <alignment horizontal="center" vertical="center"/>
    </xf>
    <xf numFmtId="164" fontId="23" fillId="0" borderId="39" xfId="0" applyNumberFormat="1" applyFont="1" applyFill="1" applyBorder="1" applyAlignment="1" applyProtection="1">
      <alignment horizontal="center" vertical="center"/>
      <protection locked="0"/>
    </xf>
    <xf numFmtId="164" fontId="23" fillId="0" borderId="41" xfId="0" applyNumberFormat="1" applyFont="1" applyFill="1" applyBorder="1" applyAlignment="1" applyProtection="1">
      <alignment horizontal="center" vertical="center"/>
      <protection locked="0"/>
    </xf>
    <xf numFmtId="164" fontId="23" fillId="0" borderId="42" xfId="0" applyNumberFormat="1" applyFont="1" applyFill="1" applyBorder="1" applyAlignment="1" applyProtection="1">
      <alignment horizontal="center" vertical="center"/>
      <protection locked="0"/>
    </xf>
    <xf numFmtId="164" fontId="23" fillId="0" borderId="43" xfId="0" applyNumberFormat="1" applyFont="1" applyFill="1" applyBorder="1" applyAlignment="1" applyProtection="1">
      <alignment horizontal="center" vertical="center"/>
      <protection locked="0"/>
    </xf>
    <xf numFmtId="164" fontId="23" fillId="0" borderId="45" xfId="0" applyNumberFormat="1" applyFont="1" applyFill="1" applyBorder="1" applyAlignment="1" applyProtection="1">
      <alignment horizontal="center" vertical="center"/>
      <protection locked="0"/>
    </xf>
    <xf numFmtId="164" fontId="23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164" fontId="162" fillId="0" borderId="80" xfId="0" applyNumberFormat="1" applyFont="1" applyFill="1" applyBorder="1" applyAlignment="1" applyProtection="1">
      <alignment horizontal="center" vertical="center"/>
      <protection locked="0"/>
    </xf>
    <xf numFmtId="164" fontId="162" fillId="0" borderId="41" xfId="0" applyNumberFormat="1" applyFont="1" applyFill="1" applyBorder="1" applyAlignment="1" applyProtection="1">
      <alignment horizontal="center" vertical="center"/>
      <protection locked="0"/>
    </xf>
    <xf numFmtId="164" fontId="162" fillId="0" borderId="4" xfId="0" applyNumberFormat="1" applyFont="1" applyFill="1" applyBorder="1" applyAlignment="1" applyProtection="1">
      <alignment horizontal="center" vertical="center"/>
      <protection locked="0"/>
    </xf>
    <xf numFmtId="164" fontId="162" fillId="0" borderId="43" xfId="0" applyNumberFormat="1" applyFont="1" applyFill="1" applyBorder="1" applyAlignment="1" applyProtection="1">
      <alignment horizontal="center" vertical="center"/>
      <protection locked="0"/>
    </xf>
    <xf numFmtId="164" fontId="162" fillId="0" borderId="83" xfId="0" applyNumberFormat="1" applyFont="1" applyFill="1" applyBorder="1" applyAlignment="1" applyProtection="1">
      <alignment horizontal="center" vertical="center"/>
      <protection locked="0"/>
    </xf>
    <xf numFmtId="164" fontId="162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7" borderId="32" xfId="0" applyFont="1" applyFill="1" applyBorder="1" applyAlignment="1" applyProtection="1">
      <alignment horizontal="center" vertical="center"/>
    </xf>
    <xf numFmtId="0" fontId="17" fillId="7" borderId="34" xfId="0" applyFont="1" applyFill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123" fillId="0" borderId="39" xfId="0" applyNumberFormat="1" applyFont="1" applyFill="1" applyBorder="1" applyAlignment="1" applyProtection="1">
      <alignment horizontal="center" vertical="center"/>
      <protection locked="0"/>
    </xf>
    <xf numFmtId="164" fontId="123" fillId="0" borderId="41" xfId="0" applyNumberFormat="1" applyFont="1" applyFill="1" applyBorder="1" applyAlignment="1" applyProtection="1">
      <alignment horizontal="center" vertical="center"/>
      <protection locked="0"/>
    </xf>
    <xf numFmtId="164" fontId="123" fillId="0" borderId="42" xfId="0" applyNumberFormat="1" applyFont="1" applyFill="1" applyBorder="1" applyAlignment="1" applyProtection="1">
      <alignment horizontal="center" vertical="center"/>
      <protection locked="0"/>
    </xf>
    <xf numFmtId="164" fontId="123" fillId="0" borderId="43" xfId="0" applyNumberFormat="1" applyFont="1" applyFill="1" applyBorder="1" applyAlignment="1" applyProtection="1">
      <alignment horizontal="center" vertical="center"/>
      <protection locked="0"/>
    </xf>
    <xf numFmtId="164" fontId="123" fillId="0" borderId="44" xfId="0" applyNumberFormat="1" applyFont="1" applyFill="1" applyBorder="1" applyAlignment="1" applyProtection="1">
      <alignment horizontal="center" vertical="center"/>
      <protection locked="0"/>
    </xf>
    <xf numFmtId="164" fontId="123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12" borderId="105" xfId="0" applyFill="1" applyBorder="1" applyAlignment="1" applyProtection="1">
      <alignment horizontal="center" vertical="center"/>
    </xf>
    <xf numFmtId="0" fontId="0" fillId="12" borderId="108" xfId="0" applyFill="1" applyBorder="1" applyAlignment="1" applyProtection="1">
      <alignment horizontal="center" vertical="center"/>
    </xf>
    <xf numFmtId="0" fontId="17" fillId="5" borderId="32" xfId="0" applyFont="1" applyFill="1" applyBorder="1" applyAlignment="1" applyProtection="1">
      <alignment horizontal="center" vertical="center"/>
    </xf>
    <xf numFmtId="0" fontId="17" fillId="5" borderId="34" xfId="0" applyFont="1" applyFill="1" applyBorder="1" applyAlignment="1" applyProtection="1">
      <alignment horizontal="center" vertical="center"/>
    </xf>
    <xf numFmtId="0" fontId="0" fillId="12" borderId="42" xfId="0" applyFill="1" applyBorder="1" applyAlignment="1" applyProtection="1">
      <alignment horizontal="center" vertical="center"/>
    </xf>
    <xf numFmtId="0" fontId="0" fillId="12" borderId="104" xfId="0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45" fillId="51" borderId="0" xfId="0" applyFont="1" applyFill="1" applyAlignment="1">
      <alignment vertical="center"/>
    </xf>
    <xf numFmtId="0" fontId="144" fillId="0" borderId="4" xfId="0" applyFont="1" applyBorder="1" applyAlignment="1">
      <alignment vertical="center"/>
    </xf>
    <xf numFmtId="0" fontId="144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143" fillId="0" borderId="7" xfId="0" applyFont="1" applyBorder="1" applyAlignment="1">
      <alignment vertical="center"/>
    </xf>
    <xf numFmtId="0" fontId="143" fillId="0" borderId="9" xfId="0" applyFont="1" applyBorder="1" applyAlignment="1">
      <alignment vertical="center"/>
    </xf>
    <xf numFmtId="0" fontId="82" fillId="0" borderId="5" xfId="0" applyFont="1" applyBorder="1" applyAlignment="1">
      <alignment vertical="center"/>
    </xf>
    <xf numFmtId="0" fontId="82" fillId="0" borderId="11" xfId="0" applyFont="1" applyBorder="1" applyAlignment="1">
      <alignment vertical="center"/>
    </xf>
    <xf numFmtId="14" fontId="4" fillId="0" borderId="77" xfId="0" applyNumberFormat="1" applyFont="1" applyBorder="1" applyAlignment="1">
      <alignment horizontal="left" vertical="top" wrapText="1"/>
    </xf>
    <xf numFmtId="14" fontId="4" fillId="0" borderId="50" xfId="0" applyNumberFormat="1" applyFont="1" applyBorder="1" applyAlignment="1">
      <alignment horizontal="left" vertical="top" wrapText="1"/>
    </xf>
    <xf numFmtId="14" fontId="4" fillId="0" borderId="77" xfId="0" applyNumberFormat="1" applyFont="1" applyFill="1" applyBorder="1" applyAlignment="1">
      <alignment horizontal="left" vertical="top" wrapText="1"/>
    </xf>
    <xf numFmtId="14" fontId="4" fillId="0" borderId="50" xfId="0" applyNumberFormat="1" applyFont="1" applyFill="1" applyBorder="1" applyAlignment="1">
      <alignment horizontal="left" vertical="top" wrapText="1"/>
    </xf>
    <xf numFmtId="0" fontId="24" fillId="3" borderId="0" xfId="0" applyFont="1" applyFill="1" applyAlignment="1">
      <alignment horizontal="center"/>
    </xf>
    <xf numFmtId="0" fontId="24" fillId="3" borderId="0" xfId="0" applyFont="1" applyFill="1" applyBorder="1" applyAlignment="1">
      <alignment horizontal="center"/>
    </xf>
    <xf numFmtId="20" fontId="35" fillId="3" borderId="0" xfId="0" applyNumberFormat="1" applyFont="1" applyFill="1" applyBorder="1" applyAlignment="1">
      <alignment horizontal="center"/>
    </xf>
    <xf numFmtId="20" fontId="35" fillId="3" borderId="0" xfId="0" applyNumberFormat="1" applyFont="1" applyFill="1" applyBorder="1" applyAlignment="1">
      <alignment horizontal="center" vertical="center"/>
    </xf>
    <xf numFmtId="20" fontId="35" fillId="3" borderId="30" xfId="0" applyNumberFormat="1" applyFont="1" applyFill="1" applyBorder="1" applyAlignment="1">
      <alignment horizontal="center" vertical="center"/>
    </xf>
    <xf numFmtId="14" fontId="4" fillId="0" borderId="96" xfId="0" applyNumberFormat="1" applyFont="1" applyFill="1" applyBorder="1" applyAlignment="1">
      <alignment horizontal="left" vertical="top" wrapText="1"/>
    </xf>
    <xf numFmtId="14" fontId="4" fillId="0" borderId="97" xfId="0" applyNumberFormat="1" applyFont="1" applyFill="1" applyBorder="1" applyAlignment="1">
      <alignment horizontal="left" vertical="top" wrapText="1"/>
    </xf>
    <xf numFmtId="14" fontId="4" fillId="3" borderId="5" xfId="0" applyNumberFormat="1" applyFont="1" applyFill="1" applyBorder="1" applyAlignment="1">
      <alignment horizontal="left"/>
    </xf>
    <xf numFmtId="14" fontId="4" fillId="3" borderId="6" xfId="0" applyNumberFormat="1" applyFont="1" applyFill="1" applyBorder="1" applyAlignment="1">
      <alignment horizontal="left"/>
    </xf>
    <xf numFmtId="20" fontId="36" fillId="3" borderId="0" xfId="0" applyNumberFormat="1" applyFont="1" applyFill="1" applyBorder="1" applyAlignment="1">
      <alignment horizontal="center" vertical="center"/>
    </xf>
    <xf numFmtId="20" fontId="36" fillId="3" borderId="30" xfId="0" applyNumberFormat="1" applyFont="1" applyFill="1" applyBorder="1" applyAlignment="1">
      <alignment horizontal="center" vertical="center"/>
    </xf>
    <xf numFmtId="164" fontId="36" fillId="0" borderId="0" xfId="0" applyNumberFormat="1" applyFont="1" applyFill="1" applyBorder="1" applyAlignment="1">
      <alignment horizontal="center" vertical="center"/>
    </xf>
    <xf numFmtId="2" fontId="36" fillId="0" borderId="0" xfId="0" applyNumberFormat="1" applyFont="1" applyFill="1" applyBorder="1" applyAlignment="1">
      <alignment horizontal="center" vertical="center"/>
    </xf>
    <xf numFmtId="164" fontId="36" fillId="0" borderId="2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41" fillId="0" borderId="77" xfId="0" applyNumberFormat="1" applyFont="1" applyBorder="1" applyAlignment="1">
      <alignment horizontal="left" vertical="top" wrapText="1"/>
    </xf>
    <xf numFmtId="14" fontId="41" fillId="0" borderId="50" xfId="0" applyNumberFormat="1" applyFont="1" applyBorder="1" applyAlignment="1">
      <alignment horizontal="left" vertical="top" wrapText="1"/>
    </xf>
    <xf numFmtId="14" fontId="131" fillId="0" borderId="91" xfId="0" applyNumberFormat="1" applyFont="1" applyBorder="1" applyAlignment="1">
      <alignment horizontal="left" vertical="top" wrapText="1"/>
    </xf>
    <xf numFmtId="14" fontId="131" fillId="0" borderId="52" xfId="0" applyNumberFormat="1" applyFont="1" applyBorder="1" applyAlignment="1">
      <alignment horizontal="left" vertical="top" wrapText="1"/>
    </xf>
    <xf numFmtId="14" fontId="131" fillId="0" borderId="96" xfId="0" applyNumberFormat="1" applyFont="1" applyBorder="1" applyAlignment="1">
      <alignment horizontal="left" vertical="top" wrapText="1"/>
    </xf>
    <xf numFmtId="14" fontId="131" fillId="0" borderId="97" xfId="0" applyNumberFormat="1" applyFont="1" applyBorder="1" applyAlignment="1">
      <alignment horizontal="left" vertical="top" wrapText="1"/>
    </xf>
    <xf numFmtId="0" fontId="35" fillId="20" borderId="98" xfId="0" applyFont="1" applyFill="1" applyBorder="1" applyAlignment="1">
      <alignment horizontal="center" vertical="center"/>
    </xf>
    <xf numFmtId="0" fontId="35" fillId="20" borderId="78" xfId="0" applyFont="1" applyFill="1" applyBorder="1" applyAlignment="1">
      <alignment horizontal="center" vertical="center"/>
    </xf>
    <xf numFmtId="14" fontId="131" fillId="0" borderId="77" xfId="0" applyNumberFormat="1" applyFont="1" applyBorder="1" applyAlignment="1">
      <alignment horizontal="left" vertical="top" wrapText="1"/>
    </xf>
    <xf numFmtId="14" fontId="131" fillId="0" borderId="50" xfId="0" applyNumberFormat="1" applyFont="1" applyBorder="1" applyAlignment="1">
      <alignment horizontal="left" vertical="top" wrapText="1"/>
    </xf>
    <xf numFmtId="0" fontId="24" fillId="5" borderId="0" xfId="0" applyFont="1" applyFill="1" applyAlignment="1">
      <alignment horizontal="center"/>
    </xf>
    <xf numFmtId="0" fontId="24" fillId="5" borderId="0" xfId="0" applyFont="1" applyFill="1" applyBorder="1" applyAlignment="1">
      <alignment horizontal="center"/>
    </xf>
    <xf numFmtId="20" fontId="35" fillId="5" borderId="0" xfId="0" applyNumberFormat="1" applyFont="1" applyFill="1" applyBorder="1" applyAlignment="1">
      <alignment horizontal="center"/>
    </xf>
    <xf numFmtId="20" fontId="35" fillId="5" borderId="0" xfId="0" applyNumberFormat="1" applyFont="1" applyFill="1" applyBorder="1" applyAlignment="1">
      <alignment horizontal="center" vertical="center"/>
    </xf>
    <xf numFmtId="20" fontId="35" fillId="5" borderId="30" xfId="0" applyNumberFormat="1" applyFont="1" applyFill="1" applyBorder="1" applyAlignment="1">
      <alignment horizontal="center" vertical="center"/>
    </xf>
    <xf numFmtId="20" fontId="36" fillId="5" borderId="0" xfId="0" applyNumberFormat="1" applyFont="1" applyFill="1" applyBorder="1" applyAlignment="1">
      <alignment horizontal="center" vertical="center"/>
    </xf>
    <xf numFmtId="20" fontId="36" fillId="5" borderId="30" xfId="0" applyNumberFormat="1" applyFont="1" applyFill="1" applyBorder="1" applyAlignment="1">
      <alignment horizontal="center" vertical="center"/>
    </xf>
    <xf numFmtId="14" fontId="4" fillId="5" borderId="5" xfId="0" applyNumberFormat="1" applyFont="1" applyFill="1" applyBorder="1" applyAlignment="1">
      <alignment horizontal="left"/>
    </xf>
    <xf numFmtId="14" fontId="4" fillId="5" borderId="6" xfId="0" applyNumberFormat="1" applyFont="1" applyFill="1" applyBorder="1" applyAlignment="1">
      <alignment horizontal="left"/>
    </xf>
    <xf numFmtId="0" fontId="24" fillId="4" borderId="0" xfId="0" applyFont="1" applyFill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4" fillId="0" borderId="77" xfId="0" applyNumberFormat="1" applyFont="1" applyBorder="1" applyAlignment="1">
      <alignment horizontal="left" vertical="center" wrapText="1"/>
    </xf>
    <xf numFmtId="14" fontId="4" fillId="0" borderId="50" xfId="0" applyNumberFormat="1" applyFont="1" applyBorder="1" applyAlignment="1">
      <alignment horizontal="left" vertical="center" wrapText="1"/>
    </xf>
    <xf numFmtId="164" fontId="36" fillId="49" borderId="126" xfId="0" applyNumberFormat="1" applyFont="1" applyFill="1" applyBorder="1" applyAlignment="1">
      <alignment horizontal="center" vertical="center"/>
    </xf>
    <xf numFmtId="164" fontId="36" fillId="49" borderId="127" xfId="0" applyNumberFormat="1" applyFont="1" applyFill="1" applyBorder="1" applyAlignment="1">
      <alignment horizontal="center" vertical="center"/>
    </xf>
    <xf numFmtId="14" fontId="4" fillId="0" borderId="93" xfId="0" applyNumberFormat="1" applyFont="1" applyBorder="1" applyAlignment="1">
      <alignment horizontal="left" vertical="center" wrapText="1"/>
    </xf>
    <xf numFmtId="14" fontId="4" fillId="0" borderId="48" xfId="0" applyNumberFormat="1" applyFont="1" applyBorder="1" applyAlignment="1">
      <alignment horizontal="left" vertical="center" wrapText="1"/>
    </xf>
    <xf numFmtId="20" fontId="35" fillId="4" borderId="0" xfId="0" applyNumberFormat="1" applyFont="1" applyFill="1" applyBorder="1" applyAlignment="1">
      <alignment horizontal="center" vertical="center"/>
    </xf>
    <xf numFmtId="20" fontId="35" fillId="4" borderId="30" xfId="0" applyNumberFormat="1" applyFont="1" applyFill="1" applyBorder="1" applyAlignment="1">
      <alignment horizontal="center" vertical="center"/>
    </xf>
    <xf numFmtId="20" fontId="36" fillId="4" borderId="0" xfId="0" applyNumberFormat="1" applyFont="1" applyFill="1" applyBorder="1" applyAlignment="1">
      <alignment horizontal="center" vertical="center"/>
    </xf>
    <xf numFmtId="20" fontId="36" fillId="4" borderId="30" xfId="0" applyNumberFormat="1" applyFont="1" applyFill="1" applyBorder="1" applyAlignment="1">
      <alignment horizontal="center" vertical="center"/>
    </xf>
    <xf numFmtId="14" fontId="4" fillId="0" borderId="91" xfId="0" applyNumberFormat="1" applyFont="1" applyBorder="1" applyAlignment="1">
      <alignment horizontal="left" vertical="center" wrapText="1"/>
    </xf>
    <xf numFmtId="14" fontId="4" fillId="0" borderId="52" xfId="0" applyNumberFormat="1" applyFont="1" applyBorder="1" applyAlignment="1">
      <alignment horizontal="left" vertical="center" wrapText="1"/>
    </xf>
    <xf numFmtId="0" fontId="24" fillId="2" borderId="0" xfId="0" applyFont="1" applyFill="1" applyAlignment="1">
      <alignment horizontal="center"/>
    </xf>
    <xf numFmtId="0" fontId="24" fillId="2" borderId="0" xfId="0" applyFont="1" applyFill="1" applyBorder="1" applyAlignment="1">
      <alignment horizontal="center"/>
    </xf>
    <xf numFmtId="20" fontId="35" fillId="2" borderId="0" xfId="0" applyNumberFormat="1" applyFont="1" applyFill="1" applyBorder="1" applyAlignment="1">
      <alignment horizontal="center"/>
    </xf>
    <xf numFmtId="20" fontId="35" fillId="2" borderId="0" xfId="0" applyNumberFormat="1" applyFont="1" applyFill="1" applyBorder="1" applyAlignment="1">
      <alignment horizontal="center" vertical="center"/>
    </xf>
    <xf numFmtId="20" fontId="35" fillId="2" borderId="30" xfId="0" applyNumberFormat="1" applyFont="1" applyFill="1" applyBorder="1" applyAlignment="1">
      <alignment horizontal="center" vertical="center"/>
    </xf>
    <xf numFmtId="20" fontId="36" fillId="2" borderId="0" xfId="0" applyNumberFormat="1" applyFont="1" applyFill="1" applyBorder="1" applyAlignment="1">
      <alignment horizontal="center" vertical="center"/>
    </xf>
    <xf numFmtId="20" fontId="36" fillId="2" borderId="30" xfId="0" applyNumberFormat="1" applyFont="1" applyFill="1" applyBorder="1" applyAlignment="1">
      <alignment horizontal="center" vertical="center"/>
    </xf>
    <xf numFmtId="0" fontId="35" fillId="2" borderId="98" xfId="0" applyNumberFormat="1" applyFont="1" applyFill="1" applyBorder="1" applyAlignment="1">
      <alignment horizontal="center" vertical="center"/>
    </xf>
    <xf numFmtId="0" fontId="35" fillId="2" borderId="78" xfId="0" applyNumberFormat="1" applyFont="1" applyFill="1" applyBorder="1" applyAlignment="1">
      <alignment horizontal="center" vertical="center"/>
    </xf>
    <xf numFmtId="0" fontId="35" fillId="24" borderId="19" xfId="0" applyFont="1" applyFill="1" applyBorder="1" applyAlignment="1">
      <alignment horizontal="center" vertical="center"/>
    </xf>
    <xf numFmtId="0" fontId="35" fillId="24" borderId="101" xfId="0" applyFont="1" applyFill="1" applyBorder="1" applyAlignment="1">
      <alignment horizontal="center" vertical="center"/>
    </xf>
    <xf numFmtId="0" fontId="35" fillId="24" borderId="20" xfId="0" applyFont="1" applyFill="1" applyBorder="1" applyAlignment="1">
      <alignment horizontal="center" vertical="center"/>
    </xf>
    <xf numFmtId="0" fontId="35" fillId="24" borderId="14" xfId="0" applyFont="1" applyFill="1" applyBorder="1" applyAlignment="1">
      <alignment horizontal="center" vertical="center"/>
    </xf>
    <xf numFmtId="0" fontId="35" fillId="24" borderId="15" xfId="0" applyFont="1" applyFill="1" applyBorder="1" applyAlignment="1">
      <alignment horizontal="center" vertical="center"/>
    </xf>
    <xf numFmtId="0" fontId="35" fillId="24" borderId="23" xfId="0" applyFont="1" applyFill="1" applyBorder="1" applyAlignment="1">
      <alignment horizontal="center" vertical="center"/>
    </xf>
    <xf numFmtId="14" fontId="3" fillId="7" borderId="5" xfId="0" applyNumberFormat="1" applyFont="1" applyFill="1" applyBorder="1" applyAlignment="1">
      <alignment horizontal="left"/>
    </xf>
    <xf numFmtId="14" fontId="3" fillId="7" borderId="6" xfId="0" applyNumberFormat="1" applyFont="1" applyFill="1" applyBorder="1" applyAlignment="1">
      <alignment horizontal="left"/>
    </xf>
    <xf numFmtId="14" fontId="160" fillId="0" borderId="93" xfId="0" applyNumberFormat="1" applyFont="1" applyBorder="1" applyAlignment="1">
      <alignment horizontal="left" vertical="top" wrapText="1"/>
    </xf>
    <xf numFmtId="14" fontId="160" fillId="0" borderId="48" xfId="0" applyNumberFormat="1" applyFont="1" applyBorder="1" applyAlignment="1">
      <alignment horizontal="left" vertical="top" wrapText="1"/>
    </xf>
    <xf numFmtId="14" fontId="49" fillId="0" borderId="77" xfId="0" applyNumberFormat="1" applyFont="1" applyFill="1" applyBorder="1" applyAlignment="1">
      <alignment horizontal="left" vertical="top" wrapText="1"/>
    </xf>
    <xf numFmtId="14" fontId="49" fillId="0" borderId="50" xfId="0" applyNumberFormat="1" applyFont="1" applyFill="1" applyBorder="1" applyAlignment="1">
      <alignment horizontal="left" vertical="top" wrapText="1"/>
    </xf>
    <xf numFmtId="14" fontId="94" fillId="26" borderId="77" xfId="0" applyNumberFormat="1" applyFont="1" applyFill="1" applyBorder="1" applyAlignment="1">
      <alignment horizontal="left" vertical="top" wrapText="1"/>
    </xf>
    <xf numFmtId="14" fontId="94" fillId="26" borderId="50" xfId="0" applyNumberFormat="1" applyFont="1" applyFill="1" applyBorder="1" applyAlignment="1">
      <alignment horizontal="left" vertical="top" wrapText="1"/>
    </xf>
    <xf numFmtId="14" fontId="131" fillId="0" borderId="77" xfId="0" applyNumberFormat="1" applyFont="1" applyFill="1" applyBorder="1" applyAlignment="1">
      <alignment horizontal="left" vertical="top" wrapText="1"/>
    </xf>
    <xf numFmtId="14" fontId="131" fillId="0" borderId="50" xfId="0" applyNumberFormat="1" applyFont="1" applyFill="1" applyBorder="1" applyAlignment="1">
      <alignment horizontal="left" vertical="top" wrapText="1"/>
    </xf>
    <xf numFmtId="2" fontId="88" fillId="26" borderId="0" xfId="0" applyNumberFormat="1" applyFont="1" applyFill="1" applyBorder="1" applyAlignment="1">
      <alignment horizontal="center" vertical="center"/>
    </xf>
    <xf numFmtId="14" fontId="95" fillId="26" borderId="77" xfId="0" applyNumberFormat="1" applyFont="1" applyFill="1" applyBorder="1" applyAlignment="1">
      <alignment horizontal="left" vertical="top" wrapText="1"/>
    </xf>
    <xf numFmtId="14" fontId="95" fillId="26" borderId="50" xfId="0" applyNumberFormat="1" applyFont="1" applyFill="1" applyBorder="1" applyAlignment="1">
      <alignment horizontal="left" vertical="top" wrapText="1"/>
    </xf>
    <xf numFmtId="14" fontId="92" fillId="26" borderId="107" xfId="0" applyNumberFormat="1" applyFont="1" applyFill="1" applyBorder="1" applyAlignment="1">
      <alignment horizontal="left" vertical="top" wrapText="1"/>
    </xf>
    <xf numFmtId="14" fontId="92" fillId="26" borderId="109" xfId="0" applyNumberFormat="1" applyFont="1" applyFill="1" applyBorder="1" applyAlignment="1">
      <alignment horizontal="left" vertical="top" wrapText="1"/>
    </xf>
    <xf numFmtId="0" fontId="63" fillId="0" borderId="108" xfId="0" applyFont="1" applyBorder="1" applyAlignment="1">
      <alignment vertical="center" wrapText="1"/>
    </xf>
    <xf numFmtId="0" fontId="63" fillId="0" borderId="0" xfId="0" applyFont="1" applyBorder="1" applyAlignment="1">
      <alignment vertical="center" wrapText="1"/>
    </xf>
    <xf numFmtId="0" fontId="24" fillId="7" borderId="0" xfId="0" applyFont="1" applyFill="1" applyAlignment="1">
      <alignment horizontal="center"/>
    </xf>
    <xf numFmtId="0" fontId="24" fillId="7" borderId="0" xfId="0" applyFont="1" applyFill="1" applyBorder="1" applyAlignment="1">
      <alignment horizontal="center"/>
    </xf>
    <xf numFmtId="20" fontId="35" fillId="7" borderId="0" xfId="0" applyNumberFormat="1" applyFont="1" applyFill="1" applyBorder="1" applyAlignment="1">
      <alignment horizontal="center"/>
    </xf>
    <xf numFmtId="20" fontId="35" fillId="7" borderId="0" xfId="0" applyNumberFormat="1" applyFont="1" applyFill="1" applyBorder="1" applyAlignment="1">
      <alignment horizontal="center" vertical="center"/>
    </xf>
    <xf numFmtId="20" fontId="35" fillId="7" borderId="30" xfId="0" applyNumberFormat="1" applyFont="1" applyFill="1" applyBorder="1" applyAlignment="1">
      <alignment horizontal="center" vertical="center"/>
    </xf>
    <xf numFmtId="164" fontId="156" fillId="0" borderId="25" xfId="0" applyNumberFormat="1" applyFont="1" applyFill="1" applyBorder="1" applyAlignment="1">
      <alignment horizontal="center" vertical="center"/>
    </xf>
    <xf numFmtId="164" fontId="35" fillId="26" borderId="25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14" fontId="160" fillId="0" borderId="77" xfId="0" applyNumberFormat="1" applyFont="1" applyBorder="1" applyAlignment="1">
      <alignment horizontal="left" vertical="top" wrapText="1"/>
    </xf>
    <xf numFmtId="14" fontId="160" fillId="0" borderId="50" xfId="0" applyNumberFormat="1" applyFont="1" applyBorder="1" applyAlignment="1">
      <alignment horizontal="left" vertical="top" wrapText="1"/>
    </xf>
    <xf numFmtId="14" fontId="161" fillId="0" borderId="77" xfId="0" applyNumberFormat="1" applyFont="1" applyBorder="1" applyAlignment="1">
      <alignment horizontal="left" vertical="top" wrapText="1"/>
    </xf>
    <xf numFmtId="14" fontId="161" fillId="0" borderId="50" xfId="0" applyNumberFormat="1" applyFont="1" applyBorder="1" applyAlignment="1">
      <alignment horizontal="left" vertical="top" wrapText="1"/>
    </xf>
    <xf numFmtId="20" fontId="36" fillId="7" borderId="0" xfId="0" applyNumberFormat="1" applyFont="1" applyFill="1" applyBorder="1" applyAlignment="1">
      <alignment horizontal="center" vertical="center"/>
    </xf>
    <xf numFmtId="20" fontId="36" fillId="7" borderId="30" xfId="0" applyNumberFormat="1" applyFont="1" applyFill="1" applyBorder="1" applyAlignment="1">
      <alignment horizontal="center" vertical="center"/>
    </xf>
    <xf numFmtId="0" fontId="144" fillId="23" borderId="42" xfId="0" applyFont="1" applyFill="1" applyBorder="1"/>
    <xf numFmtId="0" fontId="144" fillId="23" borderId="0" xfId="0" applyFont="1" applyFill="1"/>
    <xf numFmtId="0" fontId="0" fillId="52" borderId="42" xfId="0" applyFill="1" applyBorder="1"/>
    <xf numFmtId="0" fontId="0" fillId="52" borderId="0" xfId="0" applyFill="1"/>
    <xf numFmtId="0" fontId="158" fillId="54" borderId="0" xfId="0" quotePrefix="1" applyFont="1" applyFill="1" applyAlignment="1">
      <alignment horizontal="center"/>
    </xf>
    <xf numFmtId="2" fontId="0" fillId="0" borderId="0" xfId="0" applyNumberFormat="1" applyAlignment="1">
      <alignment horizontal="left"/>
    </xf>
    <xf numFmtId="0" fontId="17" fillId="8" borderId="4" xfId="0" applyFont="1" applyFill="1" applyBorder="1" applyAlignment="1">
      <alignment horizontal="center"/>
    </xf>
    <xf numFmtId="0" fontId="17" fillId="8" borderId="10" xfId="0" applyFont="1" applyFill="1" applyBorder="1" applyAlignment="1">
      <alignment horizontal="center"/>
    </xf>
    <xf numFmtId="1" fontId="38" fillId="18" borderId="99" xfId="0" applyNumberFormat="1" applyFont="1" applyFill="1" applyBorder="1" applyAlignment="1" applyProtection="1">
      <alignment horizontal="center" vertical="center"/>
      <protection locked="0"/>
    </xf>
    <xf numFmtId="1" fontId="38" fillId="18" borderId="73" xfId="0" applyNumberFormat="1" applyFont="1" applyFill="1" applyBorder="1" applyAlignment="1" applyProtection="1">
      <alignment horizontal="center" vertical="center"/>
      <protection locked="0"/>
    </xf>
    <xf numFmtId="1" fontId="38" fillId="18" borderId="100" xfId="0" applyNumberFormat="1" applyFont="1" applyFill="1" applyBorder="1" applyAlignment="1" applyProtection="1">
      <alignment horizontal="center" vertical="center"/>
      <protection locked="0"/>
    </xf>
    <xf numFmtId="169" fontId="0" fillId="0" borderId="0" xfId="0" applyNumberFormat="1"/>
    <xf numFmtId="1" fontId="0" fillId="9" borderId="44" xfId="0" applyNumberFormat="1" applyFill="1" applyBorder="1" applyAlignment="1">
      <alignment horizontal="center"/>
    </xf>
    <xf numFmtId="1" fontId="0" fillId="9" borderId="45" xfId="0" applyNumberFormat="1" applyFill="1" applyBorder="1" applyAlignment="1">
      <alignment horizontal="center"/>
    </xf>
    <xf numFmtId="1" fontId="0" fillId="9" borderId="46" xfId="0" applyNumberFormat="1" applyFill="1" applyBorder="1" applyAlignment="1">
      <alignment horizontal="center"/>
    </xf>
    <xf numFmtId="0" fontId="145" fillId="25" borderId="0" xfId="0" applyFont="1" applyFill="1" applyAlignment="1">
      <alignment horizontal="center"/>
    </xf>
    <xf numFmtId="0" fontId="146" fillId="29" borderId="12" xfId="0" applyFont="1" applyFill="1" applyBorder="1" applyAlignment="1">
      <alignment horizontal="center" vertical="center" wrapText="1"/>
    </xf>
    <xf numFmtId="0" fontId="146" fillId="29" borderId="106" xfId="0" applyFont="1" applyFill="1" applyBorder="1" applyAlignment="1">
      <alignment horizontal="center" vertical="center" wrapText="1"/>
    </xf>
    <xf numFmtId="0" fontId="146" fillId="29" borderId="16" xfId="0" applyFont="1" applyFill="1" applyBorder="1" applyAlignment="1">
      <alignment horizontal="center" vertical="center" wrapText="1"/>
    </xf>
    <xf numFmtId="0" fontId="74" fillId="0" borderId="6" xfId="0" applyFont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7" borderId="0" xfId="0" applyNumberFormat="1" applyFill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2" borderId="42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19" borderId="44" xfId="0" applyFill="1" applyBorder="1" applyAlignment="1">
      <alignment horizontal="right"/>
    </xf>
    <xf numFmtId="0" fontId="0" fillId="19" borderId="45" xfId="0" applyFill="1" applyBorder="1" applyAlignment="1">
      <alignment horizontal="right"/>
    </xf>
    <xf numFmtId="1" fontId="0" fillId="0" borderId="0" xfId="0" applyNumberFormat="1" applyFill="1" applyBorder="1" applyAlignment="1">
      <alignment horizontal="center"/>
    </xf>
    <xf numFmtId="1" fontId="0" fillId="4" borderId="40" xfId="0" applyNumberFormat="1" applyFill="1" applyBorder="1" applyAlignment="1">
      <alignment horizontal="center"/>
    </xf>
    <xf numFmtId="0" fontId="0" fillId="4" borderId="39" xfId="0" applyFill="1" applyBorder="1" applyAlignment="1">
      <alignment horizontal="right"/>
    </xf>
    <xf numFmtId="0" fontId="0" fillId="4" borderId="40" xfId="0" applyFill="1" applyBorder="1" applyAlignment="1">
      <alignment horizontal="right"/>
    </xf>
    <xf numFmtId="0" fontId="0" fillId="19" borderId="45" xfId="0" applyFill="1" applyBorder="1" applyAlignment="1">
      <alignment horizontal="center"/>
    </xf>
    <xf numFmtId="0" fontId="0" fillId="19" borderId="83" xfId="0" applyFill="1" applyBorder="1" applyAlignment="1">
      <alignment horizontal="center"/>
    </xf>
    <xf numFmtId="0" fontId="0" fillId="19" borderId="85" xfId="0" applyFill="1" applyBorder="1" applyAlignment="1">
      <alignment horizontal="center"/>
    </xf>
    <xf numFmtId="1" fontId="0" fillId="4" borderId="41" xfId="0" applyNumberFormat="1" applyFill="1" applyBorder="1" applyAlignment="1">
      <alignment horizontal="center"/>
    </xf>
    <xf numFmtId="1" fontId="0" fillId="4" borderId="80" xfId="0" applyNumberFormat="1" applyFill="1" applyBorder="1" applyAlignment="1">
      <alignment horizontal="center"/>
    </xf>
    <xf numFmtId="1" fontId="0" fillId="4" borderId="82" xfId="0" applyNumberFormat="1" applyFill="1" applyBorder="1" applyAlignment="1">
      <alignment horizontal="center"/>
    </xf>
    <xf numFmtId="0" fontId="0" fillId="19" borderId="46" xfId="0" applyFill="1" applyBorder="1" applyAlignment="1">
      <alignment horizontal="center"/>
    </xf>
    <xf numFmtId="0" fontId="17" fillId="8" borderId="0" xfId="0" applyFont="1" applyFill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43" xfId="0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7" borderId="4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43" fillId="25" borderId="39" xfId="0" applyFont="1" applyFill="1" applyBorder="1" applyAlignment="1">
      <alignment horizontal="center" shrinkToFit="1"/>
    </xf>
    <xf numFmtId="0" fontId="143" fillId="25" borderId="41" xfId="0" applyFont="1" applyFill="1" applyBorder="1" applyAlignment="1">
      <alignment horizontal="center" shrinkToFit="1"/>
    </xf>
    <xf numFmtId="0" fontId="143" fillId="25" borderId="42" xfId="0" applyFont="1" applyFill="1" applyBorder="1" applyAlignment="1">
      <alignment horizontal="center" shrinkToFit="1"/>
    </xf>
    <xf numFmtId="0" fontId="143" fillId="25" borderId="43" xfId="0" applyFont="1" applyFill="1" applyBorder="1" applyAlignment="1">
      <alignment horizontal="center" shrinkToFit="1"/>
    </xf>
    <xf numFmtId="0" fontId="143" fillId="25" borderId="44" xfId="0" applyFont="1" applyFill="1" applyBorder="1" applyAlignment="1">
      <alignment horizontal="center" shrinkToFit="1"/>
    </xf>
    <xf numFmtId="0" fontId="143" fillId="25" borderId="46" xfId="0" applyFont="1" applyFill="1" applyBorder="1" applyAlignment="1">
      <alignment horizontal="center" shrinkToFit="1"/>
    </xf>
    <xf numFmtId="0" fontId="0" fillId="25" borderId="36" xfId="0" applyFill="1" applyBorder="1" applyAlignment="1">
      <alignment horizontal="center"/>
    </xf>
    <xf numFmtId="0" fontId="0" fillId="25" borderId="37" xfId="0" applyFill="1" applyBorder="1" applyAlignment="1">
      <alignment horizontal="center"/>
    </xf>
    <xf numFmtId="0" fontId="0" fillId="25" borderId="38" xfId="0" applyFill="1" applyBorder="1" applyAlignment="1">
      <alignment horizontal="center"/>
    </xf>
    <xf numFmtId="14" fontId="131" fillId="0" borderId="93" xfId="0" applyNumberFormat="1" applyFont="1" applyBorder="1" applyAlignment="1">
      <alignment horizontal="left" vertical="top" wrapText="1"/>
    </xf>
    <xf numFmtId="14" fontId="131" fillId="0" borderId="48" xfId="0" applyNumberFormat="1" applyFont="1" applyBorder="1" applyAlignment="1">
      <alignment horizontal="left" vertical="top" wrapText="1"/>
    </xf>
    <xf numFmtId="0" fontId="79" fillId="0" borderId="51" xfId="0" applyFont="1" applyBorder="1" applyAlignment="1">
      <alignment horizontal="center" vertical="center" wrapText="1"/>
    </xf>
    <xf numFmtId="14" fontId="79" fillId="2" borderId="71" xfId="0" applyNumberFormat="1" applyFont="1" applyFill="1" applyBorder="1" applyAlignment="1">
      <alignment horizontal="center" vertical="center"/>
    </xf>
    <xf numFmtId="0" fontId="79" fillId="2" borderId="49" xfId="0" applyFont="1" applyFill="1" applyBorder="1" applyAlignment="1">
      <alignment horizontal="center" vertical="center" wrapText="1"/>
    </xf>
    <xf numFmtId="14" fontId="91" fillId="0" borderId="93" xfId="0" applyNumberFormat="1" applyFont="1" applyBorder="1" applyAlignment="1">
      <alignment horizontal="left" vertical="top" wrapText="1"/>
    </xf>
    <xf numFmtId="14" fontId="91" fillId="0" borderId="48" xfId="0" applyNumberFormat="1" applyFont="1" applyBorder="1" applyAlignment="1">
      <alignment horizontal="left" vertical="top" wrapText="1"/>
    </xf>
    <xf numFmtId="14" fontId="79" fillId="2" borderId="75" xfId="0" applyNumberFormat="1" applyFont="1" applyFill="1" applyBorder="1" applyAlignment="1">
      <alignment horizontal="center" vertical="center"/>
    </xf>
    <xf numFmtId="0" fontId="79" fillId="2" borderId="51" xfId="0" applyFont="1" applyFill="1" applyBorder="1" applyAlignment="1">
      <alignment horizontal="center" vertical="center" wrapText="1"/>
    </xf>
    <xf numFmtId="14" fontId="91" fillId="0" borderId="77" xfId="0" applyNumberFormat="1" applyFont="1" applyBorder="1" applyAlignment="1">
      <alignment horizontal="left" vertical="top" wrapText="1"/>
    </xf>
    <xf numFmtId="14" fontId="91" fillId="0" borderId="50" xfId="0" applyNumberFormat="1" applyFont="1" applyBorder="1" applyAlignment="1">
      <alignment horizontal="left" vertical="top" wrapText="1"/>
    </xf>
    <xf numFmtId="0" fontId="168" fillId="0" borderId="50" xfId="0" applyFont="1" applyBorder="1" applyAlignment="1">
      <alignment horizontal="center" vertical="center" wrapText="1"/>
    </xf>
    <xf numFmtId="0" fontId="168" fillId="0" borderId="51" xfId="0" applyFont="1" applyBorder="1" applyAlignment="1">
      <alignment horizontal="center" vertical="center" wrapText="1"/>
    </xf>
    <xf numFmtId="14" fontId="79" fillId="2" borderId="90" xfId="0" applyNumberFormat="1" applyFont="1" applyFill="1" applyBorder="1" applyAlignment="1">
      <alignment horizontal="center" vertical="center"/>
    </xf>
    <xf numFmtId="0" fontId="168" fillId="0" borderId="91" xfId="0" applyFont="1" applyBorder="1" applyAlignment="1">
      <alignment horizontal="center" vertical="center" wrapText="1"/>
    </xf>
    <xf numFmtId="0" fontId="168" fillId="0" borderId="53" xfId="0" applyFont="1" applyBorder="1" applyAlignment="1">
      <alignment horizontal="center" vertical="center" wrapText="1"/>
    </xf>
    <xf numFmtId="0" fontId="79" fillId="2" borderId="53" xfId="0" applyFont="1" applyFill="1" applyBorder="1" applyAlignment="1">
      <alignment horizontal="center" vertical="center" wrapText="1"/>
    </xf>
    <xf numFmtId="14" fontId="91" fillId="0" borderId="91" xfId="0" applyNumberFormat="1" applyFont="1" applyBorder="1" applyAlignment="1">
      <alignment horizontal="left" vertical="top" wrapText="1"/>
    </xf>
    <xf numFmtId="14" fontId="91" fillId="0" borderId="52" xfId="0" applyNumberFormat="1" applyFont="1" applyBorder="1" applyAlignment="1">
      <alignment horizontal="left" vertical="top" wrapText="1"/>
    </xf>
    <xf numFmtId="0" fontId="164" fillId="27" borderId="133" xfId="0" applyFont="1" applyFill="1" applyBorder="1" applyAlignment="1">
      <alignment vertical="center"/>
    </xf>
    <xf numFmtId="2" fontId="164" fillId="27" borderId="134" xfId="0" applyNumberFormat="1" applyFont="1" applyFill="1" applyBorder="1" applyAlignment="1">
      <alignment vertical="center"/>
    </xf>
    <xf numFmtId="2" fontId="164" fillId="27" borderId="135" xfId="0" applyNumberFormat="1" applyFont="1" applyFill="1" applyBorder="1" applyAlignment="1">
      <alignment vertical="center"/>
    </xf>
    <xf numFmtId="2" fontId="164" fillId="27" borderId="132" xfId="0" applyNumberFormat="1" applyFont="1" applyFill="1" applyBorder="1" applyAlignment="1" applyProtection="1">
      <alignment horizontal="center" vertical="center"/>
    </xf>
    <xf numFmtId="164" fontId="56" fillId="0" borderId="99" xfId="0" applyNumberFormat="1" applyFont="1" applyFill="1" applyBorder="1" applyAlignment="1" applyProtection="1">
      <alignment horizontal="center" vertical="center"/>
      <protection locked="0"/>
    </xf>
    <xf numFmtId="164" fontId="167" fillId="0" borderId="99" xfId="0" applyNumberFormat="1" applyFont="1" applyFill="1" applyBorder="1" applyAlignment="1" applyProtection="1">
      <alignment horizontal="center" vertical="center"/>
      <protection locked="0"/>
    </xf>
    <xf numFmtId="164" fontId="73" fillId="0" borderId="99" xfId="0" applyNumberFormat="1" applyFont="1" applyFill="1" applyBorder="1" applyAlignment="1" applyProtection="1">
      <alignment horizontal="center" vertical="center"/>
      <protection locked="0"/>
    </xf>
    <xf numFmtId="0" fontId="0" fillId="0" borderId="73" xfId="0" applyBorder="1"/>
    <xf numFmtId="167" fontId="165" fillId="27" borderId="132" xfId="0" applyNumberFormat="1" applyFont="1" applyFill="1" applyBorder="1" applyAlignment="1" applyProtection="1">
      <alignment horizontal="center"/>
      <protection locked="0"/>
    </xf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</cellXfs>
  <cellStyles count="471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Besuchter Link" xfId="30" builtinId="9" hidden="1"/>
    <cellStyle name="Besuchter Link" xfId="32" builtinId="9" hidden="1"/>
    <cellStyle name="Besuchter Link" xfId="34" builtinId="9" hidden="1"/>
    <cellStyle name="Besuchter Link" xfId="36" builtinId="9" hidden="1"/>
    <cellStyle name="Besuchter Link" xfId="38" builtinId="9" hidden="1"/>
    <cellStyle name="Besuchter Link" xfId="40" builtinId="9" hidden="1"/>
    <cellStyle name="Besuchter Link" xfId="42" builtinId="9" hidden="1"/>
    <cellStyle name="Besuchter Link" xfId="44" builtinId="9" hidden="1"/>
    <cellStyle name="Besuchter Link" xfId="46" builtinId="9" hidden="1"/>
    <cellStyle name="Besuchter Link" xfId="48" builtinId="9" hidden="1"/>
    <cellStyle name="Besuchter Link" xfId="50" builtinId="9" hidden="1"/>
    <cellStyle name="Besuchter Link" xfId="52" builtinId="9" hidden="1"/>
    <cellStyle name="Besuchter Link" xfId="54" builtinId="9" hidden="1"/>
    <cellStyle name="Besuchter Link" xfId="56" builtinId="9" hidden="1"/>
    <cellStyle name="Besuchter Link" xfId="58" builtinId="9" hidden="1"/>
    <cellStyle name="Besuchter Link" xfId="60" builtinId="9" hidden="1"/>
    <cellStyle name="Besuchter Link" xfId="62" builtinId="9" hidden="1"/>
    <cellStyle name="Besuchter Link" xfId="64" builtinId="9" hidden="1"/>
    <cellStyle name="Besuchter Link" xfId="66" builtinId="9" hidden="1"/>
    <cellStyle name="Besuchter Link" xfId="68" builtinId="9" hidden="1"/>
    <cellStyle name="Besuchter Link" xfId="70" builtinId="9" hidden="1"/>
    <cellStyle name="Besuchter Link" xfId="72" builtinId="9" hidden="1"/>
    <cellStyle name="Besuchter Link" xfId="74" builtinId="9" hidden="1"/>
    <cellStyle name="Besuchter Link" xfId="76" builtinId="9" hidden="1"/>
    <cellStyle name="Besuchter Link" xfId="78" builtinId="9" hidden="1"/>
    <cellStyle name="Besuchter Link" xfId="80" builtinId="9" hidden="1"/>
    <cellStyle name="Besuchter Link" xfId="82" builtinId="9" hidden="1"/>
    <cellStyle name="Besuchter Link" xfId="84" builtinId="9" hidden="1"/>
    <cellStyle name="Besuchter Link" xfId="86" builtinId="9" hidden="1"/>
    <cellStyle name="Besuchter Link" xfId="88" builtinId="9" hidden="1"/>
    <cellStyle name="Besuchter Link" xfId="90" builtinId="9" hidden="1"/>
    <cellStyle name="Besuchter Link" xfId="92" builtinId="9" hidden="1"/>
    <cellStyle name="Besuchter Link" xfId="94" builtinId="9" hidden="1"/>
    <cellStyle name="Besuchter Link" xfId="96" builtinId="9" hidden="1"/>
    <cellStyle name="Besuchter Link" xfId="98" builtinId="9" hidden="1"/>
    <cellStyle name="Besuchter Link" xfId="100" builtinId="9" hidden="1"/>
    <cellStyle name="Besuchter Link" xfId="102" builtinId="9" hidden="1"/>
    <cellStyle name="Besuchter Link" xfId="104" builtinId="9" hidden="1"/>
    <cellStyle name="Besuchter Link" xfId="106" builtinId="9" hidden="1"/>
    <cellStyle name="Besuchter Link" xfId="108" builtinId="9" hidden="1"/>
    <cellStyle name="Besuchter Link" xfId="110" builtinId="9" hidden="1"/>
    <cellStyle name="Besuchter Link" xfId="112" builtinId="9" hidden="1"/>
    <cellStyle name="Besuchter Link" xfId="114" builtinId="9" hidden="1"/>
    <cellStyle name="Besuchter Link" xfId="116" builtinId="9" hidden="1"/>
    <cellStyle name="Besuchter Link" xfId="118" builtinId="9" hidden="1"/>
    <cellStyle name="Besuchter Link" xfId="120" builtinId="9" hidden="1"/>
    <cellStyle name="Besuchter Link" xfId="122" builtinId="9" hidden="1"/>
    <cellStyle name="Besuchter Link" xfId="124" builtinId="9" hidden="1"/>
    <cellStyle name="Besuchter Link" xfId="126" builtinId="9" hidden="1"/>
    <cellStyle name="Besuchter Link" xfId="128" builtinId="9" hidden="1"/>
    <cellStyle name="Besuchter Link" xfId="130" builtinId="9" hidden="1"/>
    <cellStyle name="Besuchter Link" xfId="132" builtinId="9" hidden="1"/>
    <cellStyle name="Besuchter Link" xfId="134" builtinId="9" hidden="1"/>
    <cellStyle name="Besuchter Link" xfId="136" builtinId="9" hidden="1"/>
    <cellStyle name="Besuchter Link" xfId="138" builtinId="9" hidden="1"/>
    <cellStyle name="Besuchter Link" xfId="140" builtinId="9" hidden="1"/>
    <cellStyle name="Besuchter Link" xfId="142" builtinId="9" hidden="1"/>
    <cellStyle name="Besuchter Link" xfId="144" builtinId="9" hidden="1"/>
    <cellStyle name="Besuchter Link" xfId="146" builtinId="9" hidden="1"/>
    <cellStyle name="Besuchter Link" xfId="148" builtinId="9" hidden="1"/>
    <cellStyle name="Besuchter Link" xfId="150" builtinId="9" hidden="1"/>
    <cellStyle name="Besuchter Link" xfId="152" builtinId="9" hidden="1"/>
    <cellStyle name="Besuchter Link" xfId="154" builtinId="9" hidden="1"/>
    <cellStyle name="Besuchter Link" xfId="156" builtinId="9" hidden="1"/>
    <cellStyle name="Besuchter Link" xfId="158" builtinId="9" hidden="1"/>
    <cellStyle name="Besuchter Link" xfId="160" builtinId="9" hidden="1"/>
    <cellStyle name="Besuchter Link" xfId="162" builtinId="9" hidden="1"/>
    <cellStyle name="Besuchter Link" xfId="164" builtinId="9" hidden="1"/>
    <cellStyle name="Besuchter Link" xfId="166" builtinId="9" hidden="1"/>
    <cellStyle name="Besuchter Link" xfId="168" builtinId="9" hidden="1"/>
    <cellStyle name="Besuchter Link" xfId="170" builtinId="9" hidden="1"/>
    <cellStyle name="Besuchter Link" xfId="172" builtinId="9" hidden="1"/>
    <cellStyle name="Besuchter Link" xfId="174" builtinId="9" hidden="1"/>
    <cellStyle name="Besuchter Link" xfId="176" builtinId="9" hidden="1"/>
    <cellStyle name="Besuchter Link" xfId="178" builtinId="9" hidden="1"/>
    <cellStyle name="Besuchter Link" xfId="180" builtinId="9" hidden="1"/>
    <cellStyle name="Besuchter Link" xfId="182" builtinId="9" hidden="1"/>
    <cellStyle name="Besuchter Link" xfId="184" builtinId="9" hidden="1"/>
    <cellStyle name="Besuchter Link" xfId="186" builtinId="9" hidden="1"/>
    <cellStyle name="Besuchter Link" xfId="188" builtinId="9" hidden="1"/>
    <cellStyle name="Besuchter Link" xfId="190" builtinId="9" hidden="1"/>
    <cellStyle name="Besuchter Link" xfId="192" builtinId="9" hidden="1"/>
    <cellStyle name="Besuchter Link" xfId="194" builtinId="9" hidden="1"/>
    <cellStyle name="Besuchter Link" xfId="196" builtinId="9" hidden="1"/>
    <cellStyle name="Besuchter Link" xfId="198" builtinId="9" hidden="1"/>
    <cellStyle name="Besuchter Link" xfId="200" builtinId="9" hidden="1"/>
    <cellStyle name="Besuchter Link" xfId="202" builtinId="9" hidden="1"/>
    <cellStyle name="Besuchter Link" xfId="204" builtinId="9" hidden="1"/>
    <cellStyle name="Besuchter Link" xfId="206" builtinId="9" hidden="1"/>
    <cellStyle name="Besuchter Link" xfId="208" builtinId="9" hidden="1"/>
    <cellStyle name="Besuchter Link" xfId="210" builtinId="9" hidden="1"/>
    <cellStyle name="Besuchter Link" xfId="212" builtinId="9" hidden="1"/>
    <cellStyle name="Besuchter Link" xfId="214" builtinId="9" hidden="1"/>
    <cellStyle name="Besuchter Link" xfId="216" builtinId="9" hidden="1"/>
    <cellStyle name="Besuchter Link" xfId="218" builtinId="9" hidden="1"/>
    <cellStyle name="Besuchter Link" xfId="220" builtinId="9" hidden="1"/>
    <cellStyle name="Besuchter Link" xfId="222" builtinId="9" hidden="1"/>
    <cellStyle name="Besuchter Link" xfId="224" builtinId="9" hidden="1"/>
    <cellStyle name="Besuchter Link" xfId="226" builtinId="9" hidden="1"/>
    <cellStyle name="Besuchter Link" xfId="228" builtinId="9" hidden="1"/>
    <cellStyle name="Besuchter Link" xfId="230" builtinId="9" hidden="1"/>
    <cellStyle name="Besuchter Link" xfId="232" builtinId="9" hidden="1"/>
    <cellStyle name="Besuchter Link" xfId="234" builtinId="9" hidden="1"/>
    <cellStyle name="Besuchter Link" xfId="236" builtinId="9" hidden="1"/>
    <cellStyle name="Besuchter Link" xfId="238" builtinId="9" hidden="1"/>
    <cellStyle name="Besuchter Link" xfId="240" builtinId="9" hidden="1"/>
    <cellStyle name="Besuchter Link" xfId="242" builtinId="9" hidden="1"/>
    <cellStyle name="Besuchter Link" xfId="244" builtinId="9" hidden="1"/>
    <cellStyle name="Besuchter Link" xfId="246" builtinId="9" hidden="1"/>
    <cellStyle name="Besuchter Link" xfId="248" builtinId="9" hidden="1"/>
    <cellStyle name="Besuchter Link" xfId="250" builtinId="9" hidden="1"/>
    <cellStyle name="Besuchter Link" xfId="252" builtinId="9" hidden="1"/>
    <cellStyle name="Besuchter Link" xfId="254" builtinId="9" hidden="1"/>
    <cellStyle name="Besuchter Link" xfId="256" builtinId="9" hidden="1"/>
    <cellStyle name="Besuchter Link" xfId="258" builtinId="9" hidden="1"/>
    <cellStyle name="Besuchter Link" xfId="260" builtinId="9" hidden="1"/>
    <cellStyle name="Besuchter Link" xfId="262" builtinId="9" hidden="1"/>
    <cellStyle name="Besuchter Link" xfId="264" builtinId="9" hidden="1"/>
    <cellStyle name="Besuchter Link" xfId="266" builtinId="9" hidden="1"/>
    <cellStyle name="Besuchter Link" xfId="268" builtinId="9" hidden="1"/>
    <cellStyle name="Besuchter Link" xfId="270" builtinId="9" hidden="1"/>
    <cellStyle name="Besuchter Link" xfId="272" builtinId="9" hidden="1"/>
    <cellStyle name="Besuchter Link" xfId="274" builtinId="9" hidden="1"/>
    <cellStyle name="Besuchter Link" xfId="276" builtinId="9" hidden="1"/>
    <cellStyle name="Besuchter Link" xfId="278" builtinId="9" hidden="1"/>
    <cellStyle name="Besuchter Link" xfId="280" builtinId="9" hidden="1"/>
    <cellStyle name="Besuchter Link" xfId="282" builtinId="9" hidden="1"/>
    <cellStyle name="Besuchter Link" xfId="284" builtinId="9" hidden="1"/>
    <cellStyle name="Besuchter Link" xfId="286" builtinId="9" hidden="1"/>
    <cellStyle name="Besuchter Link" xfId="288" builtinId="9" hidden="1"/>
    <cellStyle name="Besuchter Link" xfId="290" builtinId="9" hidden="1"/>
    <cellStyle name="Besuchter Link" xfId="292" builtinId="9" hidden="1"/>
    <cellStyle name="Besuchter Link" xfId="294" builtinId="9" hidden="1"/>
    <cellStyle name="Besuchter Link" xfId="296" builtinId="9" hidden="1"/>
    <cellStyle name="Besuchter Link" xfId="298" builtinId="9" hidden="1"/>
    <cellStyle name="Besuchter Link" xfId="300" builtinId="9" hidden="1"/>
    <cellStyle name="Besuchter Link" xfId="302" builtinId="9" hidden="1"/>
    <cellStyle name="Besuchter Link" xfId="304" builtinId="9" hidden="1"/>
    <cellStyle name="Besuchter Link" xfId="306" builtinId="9" hidden="1"/>
    <cellStyle name="Besuchter Link" xfId="308" builtinId="9" hidden="1"/>
    <cellStyle name="Besuchter Link" xfId="310" builtinId="9" hidden="1"/>
    <cellStyle name="Besuchter Link" xfId="312" builtinId="9" hidden="1"/>
    <cellStyle name="Besuchter Link" xfId="314" builtinId="9" hidden="1"/>
    <cellStyle name="Besuchter Link" xfId="316" builtinId="9" hidden="1"/>
    <cellStyle name="Besuchter Link" xfId="318" builtinId="9" hidden="1"/>
    <cellStyle name="Besuchter Link" xfId="320" builtinId="9" hidden="1"/>
    <cellStyle name="Besuchter Link" xfId="322" builtinId="9" hidden="1"/>
    <cellStyle name="Besuchter Link" xfId="324" builtinId="9" hidden="1"/>
    <cellStyle name="Besuchter Link" xfId="326" builtinId="9" hidden="1"/>
    <cellStyle name="Besuchter Link" xfId="328" builtinId="9" hidden="1"/>
    <cellStyle name="Besuchter Link" xfId="330" builtinId="9" hidden="1"/>
    <cellStyle name="Besuchter Link" xfId="332" builtinId="9" hidden="1"/>
    <cellStyle name="Besuchter Link" xfId="334" builtinId="9" hidden="1"/>
    <cellStyle name="Besuchter Link" xfId="336" builtinId="9" hidden="1"/>
    <cellStyle name="Besuchter Link" xfId="338" builtinId="9" hidden="1"/>
    <cellStyle name="Besuchter Link" xfId="340" builtinId="9" hidden="1"/>
    <cellStyle name="Besuchter Link" xfId="342" builtinId="9" hidden="1"/>
    <cellStyle name="Besuchter Link" xfId="344" builtinId="9" hidden="1"/>
    <cellStyle name="Besuchter Link" xfId="346" builtinId="9" hidden="1"/>
    <cellStyle name="Besuchter Link" xfId="348" builtinId="9" hidden="1"/>
    <cellStyle name="Besuchter Link" xfId="350" builtinId="9" hidden="1"/>
    <cellStyle name="Besuchter Link" xfId="352" builtinId="9" hidden="1"/>
    <cellStyle name="Besuchter Link" xfId="354" builtinId="9" hidden="1"/>
    <cellStyle name="Besuchter Link" xfId="356" builtinId="9" hidden="1"/>
    <cellStyle name="Besuchter Link" xfId="358" builtinId="9" hidden="1"/>
    <cellStyle name="Besuchter Link" xfId="360" builtinId="9" hidden="1"/>
    <cellStyle name="Besuchter Link" xfId="362" builtinId="9" hidden="1"/>
    <cellStyle name="Besuchter Link" xfId="364" builtinId="9" hidden="1"/>
    <cellStyle name="Besuchter Link" xfId="366" builtinId="9" hidden="1"/>
    <cellStyle name="Besuchter Link" xfId="368" builtinId="9" hidden="1"/>
    <cellStyle name="Besuchter Link" xfId="370" builtinId="9" hidden="1"/>
    <cellStyle name="Besuchter Link" xfId="372" builtinId="9" hidden="1"/>
    <cellStyle name="Besuchter Link" xfId="374" builtinId="9" hidden="1"/>
    <cellStyle name="Besuchter Link" xfId="376" builtinId="9" hidden="1"/>
    <cellStyle name="Besuchter Link" xfId="378" builtinId="9" hidden="1"/>
    <cellStyle name="Besuchter Link" xfId="380" builtinId="9" hidden="1"/>
    <cellStyle name="Besuchter Link" xfId="382" builtinId="9" hidden="1"/>
    <cellStyle name="Besuchter Link" xfId="384" builtinId="9" hidden="1"/>
    <cellStyle name="Besuchter Link" xfId="386" builtinId="9" hidden="1"/>
    <cellStyle name="Besuchter Link" xfId="388" builtinId="9" hidden="1"/>
    <cellStyle name="Besuchter Link" xfId="390" builtinId="9" hidden="1"/>
    <cellStyle name="Besuchter Link" xfId="392" builtinId="9" hidden="1"/>
    <cellStyle name="Besuchter Link" xfId="394" builtinId="9" hidden="1"/>
    <cellStyle name="Besuchter Link" xfId="396" builtinId="9" hidden="1"/>
    <cellStyle name="Besuchter Link" xfId="398" builtinId="9" hidden="1"/>
    <cellStyle name="Besuchter Link" xfId="400" builtinId="9" hidden="1"/>
    <cellStyle name="Besuchter Link" xfId="402" builtinId="9" hidden="1"/>
    <cellStyle name="Besuchter Link" xfId="404" builtinId="9" hidden="1"/>
    <cellStyle name="Besuchter Link" xfId="406" builtinId="9" hidden="1"/>
    <cellStyle name="Besuchter Link" xfId="408" builtinId="9" hidden="1"/>
    <cellStyle name="Besuchter Link" xfId="410" builtinId="9" hidden="1"/>
    <cellStyle name="Besuchter Link" xfId="412" builtinId="9" hidden="1"/>
    <cellStyle name="Besuchter Link" xfId="414" builtinId="9" hidden="1"/>
    <cellStyle name="Besuchter Link" xfId="416" builtinId="9" hidden="1"/>
    <cellStyle name="Besuchter Link" xfId="418" builtinId="9" hidden="1"/>
    <cellStyle name="Besuchter Link" xfId="420" builtinId="9" hidden="1"/>
    <cellStyle name="Besuchter Link" xfId="422" builtinId="9" hidden="1"/>
    <cellStyle name="Besuchter Link" xfId="424" builtinId="9" hidden="1"/>
    <cellStyle name="Besuchter Link" xfId="426" builtinId="9" hidden="1"/>
    <cellStyle name="Besuchter Link" xfId="428" builtinId="9" hidden="1"/>
    <cellStyle name="Besuchter Link" xfId="430" builtinId="9" hidden="1"/>
    <cellStyle name="Besuchter Link" xfId="432" builtinId="9" hidden="1"/>
    <cellStyle name="Besuchter Link" xfId="434" builtinId="9" hidden="1"/>
    <cellStyle name="Besuchter Link" xfId="436" builtinId="9" hidden="1"/>
    <cellStyle name="Besuchter Link" xfId="438" builtinId="9" hidden="1"/>
    <cellStyle name="Besuchter Link" xfId="440" builtinId="9" hidden="1"/>
    <cellStyle name="Besuchter Link" xfId="442" builtinId="9" hidden="1"/>
    <cellStyle name="Besuchter Link" xfId="444" builtinId="9" hidden="1"/>
    <cellStyle name="Besuchter Link" xfId="446" builtinId="9" hidden="1"/>
    <cellStyle name="Besuchter Link" xfId="448" builtinId="9" hidden="1"/>
    <cellStyle name="Besuchter Link" xfId="450" builtinId="9" hidden="1"/>
    <cellStyle name="Besuchter Link" xfId="452" builtinId="9" hidden="1"/>
    <cellStyle name="Besuchter Link" xfId="454" builtinId="9" hidden="1"/>
    <cellStyle name="Besuchter Link" xfId="456" builtinId="9" hidden="1"/>
    <cellStyle name="Besuchter Link" xfId="458" builtinId="9" hidden="1"/>
    <cellStyle name="Besuchter Link" xfId="460" builtinId="9" hidden="1"/>
    <cellStyle name="Besuchter Link" xfId="462" builtinId="9" hidden="1"/>
    <cellStyle name="Besuchter Link" xfId="464" builtinId="9" hidden="1"/>
    <cellStyle name="Besuchter Link" xfId="466" builtinId="9" hidden="1"/>
    <cellStyle name="Besuchter Link" xfId="468" builtinId="9" hidden="1"/>
    <cellStyle name="Besuchter Link" xfId="47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7" builtinId="8" hidden="1"/>
    <cellStyle name="Link" xfId="69" builtinId="8" hidden="1"/>
    <cellStyle name="Link" xfId="71" builtinId="8" hidden="1"/>
    <cellStyle name="Link" xfId="73" builtinId="8" hidden="1"/>
    <cellStyle name="Link" xfId="75" builtinId="8" hidden="1"/>
    <cellStyle name="Link" xfId="77" builtinId="8" hidden="1"/>
    <cellStyle name="Link" xfId="79" builtinId="8" hidden="1"/>
    <cellStyle name="Link" xfId="81" builtinId="8" hidden="1"/>
    <cellStyle name="Link" xfId="83" builtinId="8" hidden="1"/>
    <cellStyle name="Link" xfId="85" builtinId="8" hidden="1"/>
    <cellStyle name="Link" xfId="87" builtinId="8" hidden="1"/>
    <cellStyle name="Link" xfId="89" builtinId="8" hidden="1"/>
    <cellStyle name="Link" xfId="91" builtinId="8" hidden="1"/>
    <cellStyle name="Link" xfId="93" builtinId="8" hidden="1"/>
    <cellStyle name="Link" xfId="95" builtinId="8" hidden="1"/>
    <cellStyle name="Link" xfId="97" builtinId="8" hidden="1"/>
    <cellStyle name="Link" xfId="99" builtinId="8" hidden="1"/>
    <cellStyle name="Link" xfId="101" builtinId="8" hidden="1"/>
    <cellStyle name="Link" xfId="103" builtinId="8" hidden="1"/>
    <cellStyle name="Link" xfId="105" builtinId="8" hidden="1"/>
    <cellStyle name="Link" xfId="107" builtinId="8" hidden="1"/>
    <cellStyle name="Link" xfId="109" builtinId="8" hidden="1"/>
    <cellStyle name="Link" xfId="111" builtinId="8" hidden="1"/>
    <cellStyle name="Link" xfId="113" builtinId="8" hidden="1"/>
    <cellStyle name="Link" xfId="115" builtinId="8" hidden="1"/>
    <cellStyle name="Link" xfId="117" builtinId="8" hidden="1"/>
    <cellStyle name="Link" xfId="119" builtinId="8" hidden="1"/>
    <cellStyle name="Link" xfId="121" builtinId="8" hidden="1"/>
    <cellStyle name="Link" xfId="123" builtinId="8" hidden="1"/>
    <cellStyle name="Link" xfId="125" builtinId="8" hidden="1"/>
    <cellStyle name="Link" xfId="127" builtinId="8" hidden="1"/>
    <cellStyle name="Link" xfId="129" builtinId="8" hidden="1"/>
    <cellStyle name="Link" xfId="131" builtinId="8" hidden="1"/>
    <cellStyle name="Link" xfId="133" builtinId="8" hidden="1"/>
    <cellStyle name="Link" xfId="135" builtinId="8" hidden="1"/>
    <cellStyle name="Link" xfId="137" builtinId="8" hidden="1"/>
    <cellStyle name="Link" xfId="139" builtinId="8" hidden="1"/>
    <cellStyle name="Link" xfId="141" builtinId="8" hidden="1"/>
    <cellStyle name="Link" xfId="143" builtinId="8" hidden="1"/>
    <cellStyle name="Link" xfId="145" builtinId="8" hidden="1"/>
    <cellStyle name="Link" xfId="147" builtinId="8" hidden="1"/>
    <cellStyle name="Link" xfId="149" builtinId="8" hidden="1"/>
    <cellStyle name="Link" xfId="151" builtinId="8" hidden="1"/>
    <cellStyle name="Link" xfId="153" builtinId="8" hidden="1"/>
    <cellStyle name="Link" xfId="155" builtinId="8" hidden="1"/>
    <cellStyle name="Link" xfId="157" builtinId="8" hidden="1"/>
    <cellStyle name="Link" xfId="159" builtinId="8" hidden="1"/>
    <cellStyle name="Link" xfId="161" builtinId="8" hidden="1"/>
    <cellStyle name="Link" xfId="163" builtinId="8" hidden="1"/>
    <cellStyle name="Link" xfId="165" builtinId="8" hidden="1"/>
    <cellStyle name="Link" xfId="167" builtinId="8" hidden="1"/>
    <cellStyle name="Link" xfId="169" builtinId="8" hidden="1"/>
    <cellStyle name="Link" xfId="171" builtinId="8" hidden="1"/>
    <cellStyle name="Link" xfId="173" builtinId="8" hidden="1"/>
    <cellStyle name="Link" xfId="175" builtinId="8" hidden="1"/>
    <cellStyle name="Link" xfId="177" builtinId="8" hidden="1"/>
    <cellStyle name="Link" xfId="179" builtinId="8" hidden="1"/>
    <cellStyle name="Link" xfId="181" builtinId="8" hidden="1"/>
    <cellStyle name="Link" xfId="183" builtinId="8" hidden="1"/>
    <cellStyle name="Link" xfId="185" builtinId="8" hidden="1"/>
    <cellStyle name="Link" xfId="187" builtinId="8" hidden="1"/>
    <cellStyle name="Link" xfId="189" builtinId="8" hidden="1"/>
    <cellStyle name="Link" xfId="191" builtinId="8" hidden="1"/>
    <cellStyle name="Link" xfId="193" builtinId="8" hidden="1"/>
    <cellStyle name="Link" xfId="195" builtinId="8" hidden="1"/>
    <cellStyle name="Link" xfId="197" builtinId="8" hidden="1"/>
    <cellStyle name="Link" xfId="199" builtinId="8" hidden="1"/>
    <cellStyle name="Link" xfId="201" builtinId="8" hidden="1"/>
    <cellStyle name="Link" xfId="203" builtinId="8" hidden="1"/>
    <cellStyle name="Link" xfId="205" builtinId="8" hidden="1"/>
    <cellStyle name="Link" xfId="207" builtinId="8" hidden="1"/>
    <cellStyle name="Link" xfId="209" builtinId="8" hidden="1"/>
    <cellStyle name="Link" xfId="211" builtinId="8" hidden="1"/>
    <cellStyle name="Link" xfId="213" builtinId="8" hidden="1"/>
    <cellStyle name="Link" xfId="215" builtinId="8" hidden="1"/>
    <cellStyle name="Link" xfId="217" builtinId="8" hidden="1"/>
    <cellStyle name="Link" xfId="219" builtinId="8" hidden="1"/>
    <cellStyle name="Link" xfId="221" builtinId="8" hidden="1"/>
    <cellStyle name="Link" xfId="223" builtinId="8" hidden="1"/>
    <cellStyle name="Link" xfId="225" builtinId="8" hidden="1"/>
    <cellStyle name="Link" xfId="227" builtinId="8" hidden="1"/>
    <cellStyle name="Link" xfId="229" builtinId="8" hidden="1"/>
    <cellStyle name="Link" xfId="231" builtinId="8" hidden="1"/>
    <cellStyle name="Link" xfId="233" builtinId="8" hidden="1"/>
    <cellStyle name="Link" xfId="235" builtinId="8" hidden="1"/>
    <cellStyle name="Link" xfId="237" builtinId="8" hidden="1"/>
    <cellStyle name="Link" xfId="239" builtinId="8" hidden="1"/>
    <cellStyle name="Link" xfId="241" builtinId="8" hidden="1"/>
    <cellStyle name="Link" xfId="243" builtinId="8" hidden="1"/>
    <cellStyle name="Link" xfId="245" builtinId="8" hidden="1"/>
    <cellStyle name="Link" xfId="247" builtinId="8" hidden="1"/>
    <cellStyle name="Link" xfId="249" builtinId="8" hidden="1"/>
    <cellStyle name="Link" xfId="251" builtinId="8" hidden="1"/>
    <cellStyle name="Link" xfId="253" builtinId="8" hidden="1"/>
    <cellStyle name="Link" xfId="255" builtinId="8" hidden="1"/>
    <cellStyle name="Link" xfId="257" builtinId="8" hidden="1"/>
    <cellStyle name="Link" xfId="259" builtinId="8" hidden="1"/>
    <cellStyle name="Link" xfId="261" builtinId="8" hidden="1"/>
    <cellStyle name="Link" xfId="263" builtinId="8" hidden="1"/>
    <cellStyle name="Link" xfId="265" builtinId="8" hidden="1"/>
    <cellStyle name="Link" xfId="267" builtinId="8" hidden="1"/>
    <cellStyle name="Link" xfId="269" builtinId="8" hidden="1"/>
    <cellStyle name="Link" xfId="271" builtinId="8" hidden="1"/>
    <cellStyle name="Link" xfId="273" builtinId="8" hidden="1"/>
    <cellStyle name="Link" xfId="275" builtinId="8" hidden="1"/>
    <cellStyle name="Link" xfId="277" builtinId="8" hidden="1"/>
    <cellStyle name="Link" xfId="279" builtinId="8" hidden="1"/>
    <cellStyle name="Link" xfId="281" builtinId="8" hidden="1"/>
    <cellStyle name="Link" xfId="283" builtinId="8" hidden="1"/>
    <cellStyle name="Link" xfId="285" builtinId="8" hidden="1"/>
    <cellStyle name="Link" xfId="287" builtinId="8" hidden="1"/>
    <cellStyle name="Link" xfId="289" builtinId="8" hidden="1"/>
    <cellStyle name="Link" xfId="291" builtinId="8" hidden="1"/>
    <cellStyle name="Link" xfId="293" builtinId="8" hidden="1"/>
    <cellStyle name="Link" xfId="295" builtinId="8" hidden="1"/>
    <cellStyle name="Link" xfId="297" builtinId="8" hidden="1"/>
    <cellStyle name="Link" xfId="299" builtinId="8" hidden="1"/>
    <cellStyle name="Link" xfId="301" builtinId="8" hidden="1"/>
    <cellStyle name="Link" xfId="303" builtinId="8" hidden="1"/>
    <cellStyle name="Link" xfId="305" builtinId="8" hidden="1"/>
    <cellStyle name="Link" xfId="307" builtinId="8" hidden="1"/>
    <cellStyle name="Link" xfId="309" builtinId="8" hidden="1"/>
    <cellStyle name="Link" xfId="311" builtinId="8" hidden="1"/>
    <cellStyle name="Link" xfId="313" builtinId="8" hidden="1"/>
    <cellStyle name="Link" xfId="315" builtinId="8" hidden="1"/>
    <cellStyle name="Link" xfId="317" builtinId="8" hidden="1"/>
    <cellStyle name="Link" xfId="319" builtinId="8" hidden="1"/>
    <cellStyle name="Link" xfId="321" builtinId="8" hidden="1"/>
    <cellStyle name="Link" xfId="323" builtinId="8" hidden="1"/>
    <cellStyle name="Link" xfId="325" builtinId="8" hidden="1"/>
    <cellStyle name="Link" xfId="327" builtinId="8" hidden="1"/>
    <cellStyle name="Link" xfId="329" builtinId="8" hidden="1"/>
    <cellStyle name="Link" xfId="331" builtinId="8" hidden="1"/>
    <cellStyle name="Link" xfId="333" builtinId="8" hidden="1"/>
    <cellStyle name="Link" xfId="335" builtinId="8" hidden="1"/>
    <cellStyle name="Link" xfId="337" builtinId="8" hidden="1"/>
    <cellStyle name="Link" xfId="339" builtinId="8" hidden="1"/>
    <cellStyle name="Link" xfId="341" builtinId="8" hidden="1"/>
    <cellStyle name="Link" xfId="343" builtinId="8" hidden="1"/>
    <cellStyle name="Link" xfId="345" builtinId="8" hidden="1"/>
    <cellStyle name="Link" xfId="347" builtinId="8" hidden="1"/>
    <cellStyle name="Link" xfId="349" builtinId="8" hidden="1"/>
    <cellStyle name="Link" xfId="351" builtinId="8" hidden="1"/>
    <cellStyle name="Link" xfId="353" builtinId="8" hidden="1"/>
    <cellStyle name="Link" xfId="355" builtinId="8" hidden="1"/>
    <cellStyle name="Link" xfId="357" builtinId="8" hidden="1"/>
    <cellStyle name="Link" xfId="359" builtinId="8" hidden="1"/>
    <cellStyle name="Link" xfId="361" builtinId="8" hidden="1"/>
    <cellStyle name="Link" xfId="363" builtinId="8" hidden="1"/>
    <cellStyle name="Link" xfId="365" builtinId="8" hidden="1"/>
    <cellStyle name="Link" xfId="367" builtinId="8" hidden="1"/>
    <cellStyle name="Link" xfId="369" builtinId="8" hidden="1"/>
    <cellStyle name="Link" xfId="371" builtinId="8" hidden="1"/>
    <cellStyle name="Link" xfId="373" builtinId="8" hidden="1"/>
    <cellStyle name="Link" xfId="375" builtinId="8" hidden="1"/>
    <cellStyle name="Link" xfId="377" builtinId="8" hidden="1"/>
    <cellStyle name="Link" xfId="379" builtinId="8" hidden="1"/>
    <cellStyle name="Link" xfId="381" builtinId="8" hidden="1"/>
    <cellStyle name="Link" xfId="383" builtinId="8" hidden="1"/>
    <cellStyle name="Link" xfId="385" builtinId="8" hidden="1"/>
    <cellStyle name="Link" xfId="387" builtinId="8" hidden="1"/>
    <cellStyle name="Link" xfId="389" builtinId="8" hidden="1"/>
    <cellStyle name="Link" xfId="391" builtinId="8" hidden="1"/>
    <cellStyle name="Link" xfId="393" builtinId="8" hidden="1"/>
    <cellStyle name="Link" xfId="395" builtinId="8" hidden="1"/>
    <cellStyle name="Link" xfId="397" builtinId="8" hidden="1"/>
    <cellStyle name="Link" xfId="399" builtinId="8" hidden="1"/>
    <cellStyle name="Link" xfId="401" builtinId="8" hidden="1"/>
    <cellStyle name="Link" xfId="403" builtinId="8" hidden="1"/>
    <cellStyle name="Link" xfId="405" builtinId="8" hidden="1"/>
    <cellStyle name="Link" xfId="407" builtinId="8" hidden="1"/>
    <cellStyle name="Link" xfId="409" builtinId="8" hidden="1"/>
    <cellStyle name="Link" xfId="411" builtinId="8" hidden="1"/>
    <cellStyle name="Link" xfId="413" builtinId="8" hidden="1"/>
    <cellStyle name="Link" xfId="415" builtinId="8" hidden="1"/>
    <cellStyle name="Link" xfId="417" builtinId="8" hidden="1"/>
    <cellStyle name="Link" xfId="419" builtinId="8" hidden="1"/>
    <cellStyle name="Link" xfId="421" builtinId="8" hidden="1"/>
    <cellStyle name="Link" xfId="423" builtinId="8" hidden="1"/>
    <cellStyle name="Link" xfId="425" builtinId="8" hidden="1"/>
    <cellStyle name="Link" xfId="427" builtinId="8" hidden="1"/>
    <cellStyle name="Link" xfId="429" builtinId="8" hidden="1"/>
    <cellStyle name="Link" xfId="431" builtinId="8" hidden="1"/>
    <cellStyle name="Link" xfId="433" builtinId="8" hidden="1"/>
    <cellStyle name="Link" xfId="435" builtinId="8" hidden="1"/>
    <cellStyle name="Link" xfId="437" builtinId="8" hidden="1"/>
    <cellStyle name="Link" xfId="439" builtinId="8" hidden="1"/>
    <cellStyle name="Link" xfId="441" builtinId="8" hidden="1"/>
    <cellStyle name="Link" xfId="443" builtinId="8" hidden="1"/>
    <cellStyle name="Link" xfId="445" builtinId="8" hidden="1"/>
    <cellStyle name="Link" xfId="447" builtinId="8" hidden="1"/>
    <cellStyle name="Link" xfId="449" builtinId="8" hidden="1"/>
    <cellStyle name="Link" xfId="451" builtinId="8" hidden="1"/>
    <cellStyle name="Link" xfId="453" builtinId="8" hidden="1"/>
    <cellStyle name="Link" xfId="455" builtinId="8" hidden="1"/>
    <cellStyle name="Link" xfId="457" builtinId="8" hidden="1"/>
    <cellStyle name="Link" xfId="459" builtinId="8" hidden="1"/>
    <cellStyle name="Link" xfId="461" builtinId="8" hidden="1"/>
    <cellStyle name="Link" xfId="463" builtinId="8" hidden="1"/>
    <cellStyle name="Link" xfId="465" builtinId="8" hidden="1"/>
    <cellStyle name="Link" xfId="467" builtinId="8" hidden="1"/>
    <cellStyle name="Link" xfId="469" builtinId="8" hidden="1"/>
    <cellStyle name="Standard" xfId="0" builtinId="0"/>
  </cellStyles>
  <dxfs count="0"/>
  <tableStyles count="0" defaultTableStyle="TableStyleMedium2" defaultPivotStyle="PivotStyleLight16"/>
  <colors>
    <mruColors>
      <color rgb="FFB300B3"/>
      <color rgb="FF002060"/>
      <color rgb="FF2D5AB2"/>
      <color rgb="FF0070C0"/>
      <color rgb="FF802954"/>
      <color rgb="FF00FFFF"/>
      <color rgb="FFFFFF99"/>
      <color rgb="FFFFFFCC"/>
      <color rgb="FF666699"/>
      <color rgb="FFC9C90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chartsheet" Target="chartsheets/sheet1.xml"/><Relationship Id="rId10" Type="http://schemas.openxmlformats.org/officeDocument/2006/relationships/worksheet" Target="worksheets/sheet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Relationship Id="rId2" Type="http://schemas.openxmlformats.org/officeDocument/2006/relationships/chartUserShapes" Target="../drawings/drawing7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Verlauf</a:t>
            </a:r>
          </a:p>
        </c:rich>
      </c:tx>
      <c:layout>
        <c:manualLayout>
          <c:xMode val="edge"/>
          <c:yMode val="edge"/>
          <c:x val="0.00393258426966292"/>
          <c:y val="0.011006289308176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5127961113464"/>
          <c:y val="0.0298742941111664"/>
          <c:w val="0.881501677883424"/>
          <c:h val="0.507862999889829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'(intern)'!$A$4</c:f>
              <c:strCache>
                <c:ptCount val="1"/>
                <c:pt idx="0">
                  <c:v>07:00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'(intern)'!$B$4:$N$4</c:f>
              <c:numCache>
                <c:formatCode>0.0</c:formatCode>
                <c:ptCount val="13"/>
                <c:pt idx="0">
                  <c:v>6.166666666666667</c:v>
                </c:pt>
                <c:pt idx="1">
                  <c:v>6.111111111111111</c:v>
                </c:pt>
                <c:pt idx="2">
                  <c:v>6.0</c:v>
                </c:pt>
                <c:pt idx="3">
                  <c:v>6.222222222222222</c:v>
                </c:pt>
                <c:pt idx="4">
                  <c:v>6.0</c:v>
                </c:pt>
                <c:pt idx="5">
                  <c:v>6.277777777777778</c:v>
                </c:pt>
                <c:pt idx="6">
                  <c:v>6.222222222222222</c:v>
                </c:pt>
                <c:pt idx="7">
                  <c:v>6.2</c:v>
                </c:pt>
                <c:pt idx="8">
                  <c:v>6.1</c:v>
                </c:pt>
                <c:pt idx="9">
                  <c:v>6.0</c:v>
                </c:pt>
                <c:pt idx="10">
                  <c:v>6.2</c:v>
                </c:pt>
                <c:pt idx="11">
                  <c:v>6.0</c:v>
                </c:pt>
                <c:pt idx="12">
                  <c:v>6.2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'(intern)'!$A$5</c:f>
              <c:strCache>
                <c:ptCount val="1"/>
                <c:pt idx="0">
                  <c:v>09:30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9"/>
            <c:spPr>
              <a:solidFill>
                <a:srgbClr val="FF99CC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'(intern)'!$B$5:$N$5</c:f>
              <c:numCache>
                <c:formatCode>0.0</c:formatCode>
                <c:ptCount val="13"/>
                <c:pt idx="0">
                  <c:v>8.222222222222221</c:v>
                </c:pt>
                <c:pt idx="1">
                  <c:v>9.055555555555555</c:v>
                </c:pt>
                <c:pt idx="2">
                  <c:v>10.38888888888889</c:v>
                </c:pt>
                <c:pt idx="3">
                  <c:v>10.33333333333333</c:v>
                </c:pt>
                <c:pt idx="4">
                  <c:v>10.55555555555556</c:v>
                </c:pt>
                <c:pt idx="5">
                  <c:v>12.11111111111111</c:v>
                </c:pt>
                <c:pt idx="6">
                  <c:v>9.88888888888889</c:v>
                </c:pt>
                <c:pt idx="7">
                  <c:v>8.2</c:v>
                </c:pt>
                <c:pt idx="8">
                  <c:v>9.1</c:v>
                </c:pt>
                <c:pt idx="9">
                  <c:v>9.062962962962963</c:v>
                </c:pt>
                <c:pt idx="10">
                  <c:v>10.3</c:v>
                </c:pt>
                <c:pt idx="11">
                  <c:v>10.5</c:v>
                </c:pt>
                <c:pt idx="12">
                  <c:v>9.6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'(intern)'!$A$6</c:f>
              <c:strCache>
                <c:ptCount val="1"/>
                <c:pt idx="0">
                  <c:v>12:00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8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'(intern)'!$B$6:$N$6</c:f>
              <c:numCache>
                <c:formatCode>0.0</c:formatCode>
                <c:ptCount val="13"/>
                <c:pt idx="0">
                  <c:v>4.777777777777778</c:v>
                </c:pt>
                <c:pt idx="1">
                  <c:v>6.777777777777778</c:v>
                </c:pt>
                <c:pt idx="2">
                  <c:v>6.777777777777778</c:v>
                </c:pt>
                <c:pt idx="3">
                  <c:v>8.777777777777778</c:v>
                </c:pt>
                <c:pt idx="4">
                  <c:v>8.722222222222221</c:v>
                </c:pt>
                <c:pt idx="5">
                  <c:v>8.055555555555555</c:v>
                </c:pt>
                <c:pt idx="6">
                  <c:v>6.777777777777778</c:v>
                </c:pt>
                <c:pt idx="7">
                  <c:v>4.8</c:v>
                </c:pt>
                <c:pt idx="8">
                  <c:v>6.8</c:v>
                </c:pt>
                <c:pt idx="9">
                  <c:v>10.3</c:v>
                </c:pt>
                <c:pt idx="10">
                  <c:v>8.2</c:v>
                </c:pt>
                <c:pt idx="11">
                  <c:v>8.7</c:v>
                </c:pt>
                <c:pt idx="12">
                  <c:v>6.0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'(intern)'!$A$7</c:f>
              <c:strCache>
                <c:ptCount val="1"/>
                <c:pt idx="0">
                  <c:v>14:30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'(intern)'!$B$7:$N$7</c:f>
              <c:numCache>
                <c:formatCode>0.0</c:formatCode>
                <c:ptCount val="13"/>
                <c:pt idx="0">
                  <c:v>10.61111111111111</c:v>
                </c:pt>
                <c:pt idx="1">
                  <c:v>6.222222222222222</c:v>
                </c:pt>
                <c:pt idx="2">
                  <c:v>6.388888888888889</c:v>
                </c:pt>
                <c:pt idx="3">
                  <c:v>5.388888888888889</c:v>
                </c:pt>
                <c:pt idx="4">
                  <c:v>6.0</c:v>
                </c:pt>
                <c:pt idx="5">
                  <c:v>7.055555555555555</c:v>
                </c:pt>
                <c:pt idx="6">
                  <c:v>8.722222222222221</c:v>
                </c:pt>
                <c:pt idx="7">
                  <c:v>10.6</c:v>
                </c:pt>
                <c:pt idx="8">
                  <c:v>6.2</c:v>
                </c:pt>
                <c:pt idx="9">
                  <c:v>6.8</c:v>
                </c:pt>
                <c:pt idx="10">
                  <c:v>5.4</c:v>
                </c:pt>
                <c:pt idx="11">
                  <c:v>6.133333333333332</c:v>
                </c:pt>
                <c:pt idx="12">
                  <c:v>4.5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'(intern)'!$A$8</c:f>
              <c:strCache>
                <c:ptCount val="1"/>
                <c:pt idx="0">
                  <c:v>17:30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'(intern)'!$B$8:$N$8</c:f>
              <c:numCache>
                <c:formatCode>0.0</c:formatCode>
                <c:ptCount val="13"/>
                <c:pt idx="0">
                  <c:v>6.944444444444444</c:v>
                </c:pt>
                <c:pt idx="1">
                  <c:v>8.277777777777779</c:v>
                </c:pt>
                <c:pt idx="2">
                  <c:v>7.055555555555555</c:v>
                </c:pt>
                <c:pt idx="3">
                  <c:v>5.0</c:v>
                </c:pt>
                <c:pt idx="4">
                  <c:v>9.166666666666666</c:v>
                </c:pt>
                <c:pt idx="5">
                  <c:v>6.0</c:v>
                </c:pt>
                <c:pt idx="6">
                  <c:v>9.166666666666666</c:v>
                </c:pt>
                <c:pt idx="7">
                  <c:v>6.9</c:v>
                </c:pt>
                <c:pt idx="8">
                  <c:v>8.2</c:v>
                </c:pt>
                <c:pt idx="9">
                  <c:v>6.4</c:v>
                </c:pt>
                <c:pt idx="10">
                  <c:v>5.0</c:v>
                </c:pt>
                <c:pt idx="11">
                  <c:v>9.2</c:v>
                </c:pt>
                <c:pt idx="12">
                  <c:v>4.9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'(intern)'!$A$9</c:f>
              <c:strCache>
                <c:ptCount val="1"/>
                <c:pt idx="0">
                  <c:v>20:00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'(intern)'!$B$9:$N$9</c:f>
              <c:numCache>
                <c:formatCode>0.0</c:formatCode>
                <c:ptCount val="13"/>
                <c:pt idx="0">
                  <c:v>7.722222222222222</c:v>
                </c:pt>
                <c:pt idx="1">
                  <c:v>10.72222222222222</c:v>
                </c:pt>
                <c:pt idx="2">
                  <c:v>9.222222222222221</c:v>
                </c:pt>
                <c:pt idx="3">
                  <c:v>11.94444444444444</c:v>
                </c:pt>
                <c:pt idx="4">
                  <c:v>10.66666666666667</c:v>
                </c:pt>
                <c:pt idx="5">
                  <c:v>5.944444444444444</c:v>
                </c:pt>
                <c:pt idx="6">
                  <c:v>10.72222222222222</c:v>
                </c:pt>
                <c:pt idx="7">
                  <c:v>7.7</c:v>
                </c:pt>
                <c:pt idx="8">
                  <c:v>10.7</c:v>
                </c:pt>
                <c:pt idx="9">
                  <c:v>7.0</c:v>
                </c:pt>
                <c:pt idx="10">
                  <c:v>11.9</c:v>
                </c:pt>
                <c:pt idx="11">
                  <c:v>10.8</c:v>
                </c:pt>
                <c:pt idx="12">
                  <c:v>5.2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'(intern)'!$A$10</c:f>
              <c:strCache>
                <c:ptCount val="1"/>
                <c:pt idx="0">
                  <c:v>23:00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660066"/>
              </a:solidFill>
              <a:ln>
                <a:solidFill>
                  <a:srgbClr val="660066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'(intern)'!$B$10:$N$10</c:f>
              <c:numCache>
                <c:formatCode>0.0</c:formatCode>
                <c:ptCount val="13"/>
                <c:pt idx="0">
                  <c:v>7.388888888888889</c:v>
                </c:pt>
                <c:pt idx="1">
                  <c:v>9.0</c:v>
                </c:pt>
                <c:pt idx="2">
                  <c:v>7.555555555555555</c:v>
                </c:pt>
                <c:pt idx="3">
                  <c:v>5.277777777777778</c:v>
                </c:pt>
                <c:pt idx="4">
                  <c:v>9.722222222222221</c:v>
                </c:pt>
                <c:pt idx="5">
                  <c:v>10.0</c:v>
                </c:pt>
                <c:pt idx="6">
                  <c:v>7.222222222222222</c:v>
                </c:pt>
                <c:pt idx="7">
                  <c:v>7.4</c:v>
                </c:pt>
                <c:pt idx="8">
                  <c:v>9.0</c:v>
                </c:pt>
                <c:pt idx="9">
                  <c:v>7.6</c:v>
                </c:pt>
                <c:pt idx="10">
                  <c:v>5.3</c:v>
                </c:pt>
                <c:pt idx="11">
                  <c:v>9.7</c:v>
                </c:pt>
                <c:pt idx="12">
                  <c:v>7.533333333333332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'(intern)'!$A$11</c:f>
              <c:strCache>
                <c:ptCount val="1"/>
                <c:pt idx="0">
                  <c:v>Nacht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circle"/>
            <c:size val="6"/>
            <c:spPr>
              <a:noFill/>
              <a:ln w="25400"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'(intern)'!$B$11:$N$11</c:f>
              <c:numCache>
                <c:formatCode>0.0</c:formatCode>
                <c:ptCount val="13"/>
                <c:pt idx="0">
                  <c:v>5.888888888888889</c:v>
                </c:pt>
                <c:pt idx="1">
                  <c:v>5.666666666666667</c:v>
                </c:pt>
                <c:pt idx="2">
                  <c:v>6.5</c:v>
                </c:pt>
                <c:pt idx="3">
                  <c:v>6.555555555555555</c:v>
                </c:pt>
                <c:pt idx="4">
                  <c:v>6.5</c:v>
                </c:pt>
                <c:pt idx="5">
                  <c:v>5.277777777777778</c:v>
                </c:pt>
                <c:pt idx="6">
                  <c:v>5.555555555555555</c:v>
                </c:pt>
                <c:pt idx="7">
                  <c:v>5.9</c:v>
                </c:pt>
                <c:pt idx="8">
                  <c:v>5.8</c:v>
                </c:pt>
                <c:pt idx="9">
                  <c:v>6.5</c:v>
                </c:pt>
                <c:pt idx="10">
                  <c:v>6.6</c:v>
                </c:pt>
                <c:pt idx="11">
                  <c:v>6.5</c:v>
                </c:pt>
                <c:pt idx="12">
                  <c:v>6.533333333333334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'(intern)'!$A$12</c:f>
              <c:strCache>
                <c:ptCount val="1"/>
                <c:pt idx="0">
                  <c:v>Früh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triangle"/>
            <c:size val="5"/>
            <c:spPr>
              <a:noFill/>
              <a:ln w="19050">
                <a:solidFill>
                  <a:srgbClr val="00FFFF"/>
                </a:solidFill>
                <a:prstDash val="solid"/>
              </a:ln>
            </c:spPr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'(intern)'!$B$12:$N$12</c:f>
              <c:numCache>
                <c:formatCode>0.0</c:formatCode>
                <c:ptCount val="13"/>
                <c:pt idx="0">
                  <c:v>6.166666666666667</c:v>
                </c:pt>
                <c:pt idx="1">
                  <c:v>6.111111111111111</c:v>
                </c:pt>
                <c:pt idx="2">
                  <c:v>6.0</c:v>
                </c:pt>
                <c:pt idx="3">
                  <c:v>6.222222222222222</c:v>
                </c:pt>
                <c:pt idx="4">
                  <c:v>6.0</c:v>
                </c:pt>
                <c:pt idx="5">
                  <c:v>6.277777777777778</c:v>
                </c:pt>
                <c:pt idx="6">
                  <c:v>6.222222222222222</c:v>
                </c:pt>
                <c:pt idx="7">
                  <c:v>6.166666666666667</c:v>
                </c:pt>
                <c:pt idx="8">
                  <c:v>6.222222222222222</c:v>
                </c:pt>
                <c:pt idx="9">
                  <c:v>6.0</c:v>
                </c:pt>
                <c:pt idx="10">
                  <c:v>6.2</c:v>
                </c:pt>
                <c:pt idx="11">
                  <c:v>6.14074074074074</c:v>
                </c:pt>
                <c:pt idx="12">
                  <c:v>6.113580246913579</c:v>
                </c:pt>
              </c:numCache>
            </c:numRef>
          </c:val>
          <c:smooth val="0"/>
        </c:ser>
        <c:ser>
          <c:idx val="9"/>
          <c:order val="9"/>
          <c:tx>
            <c:v>Tages-MW</c:v>
          </c:tx>
          <c:spPr>
            <a:ln w="254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strRef>
              <c:f>'(intern)'!$B$3:$N$3</c:f>
              <c:strCache>
                <c:ptCount val="13"/>
                <c:pt idx="0">
                  <c:v>KW 1</c:v>
                </c:pt>
                <c:pt idx="1">
                  <c:v>KW 2</c:v>
                </c:pt>
                <c:pt idx="2">
                  <c:v>KW 3</c:v>
                </c:pt>
                <c:pt idx="3">
                  <c:v>KW 4</c:v>
                </c:pt>
                <c:pt idx="4">
                  <c:v>KW 5</c:v>
                </c:pt>
                <c:pt idx="5">
                  <c:v>KW 6</c:v>
                </c:pt>
                <c:pt idx="6">
                  <c:v>KW 7</c:v>
                </c:pt>
                <c:pt idx="7">
                  <c:v>KW 8</c:v>
                </c:pt>
                <c:pt idx="8">
                  <c:v>KW 9</c:v>
                </c:pt>
                <c:pt idx="9">
                  <c:v>KW 10</c:v>
                </c:pt>
                <c:pt idx="10">
                  <c:v>KW 11</c:v>
                </c:pt>
                <c:pt idx="11">
                  <c:v>KW 12</c:v>
                </c:pt>
                <c:pt idx="12">
                  <c:v>KW 13</c:v>
                </c:pt>
              </c:strCache>
            </c:strRef>
          </c:cat>
          <c:val>
            <c:numRef>
              <c:f>'(intern)'!$B$13:$N$13</c:f>
              <c:numCache>
                <c:formatCode>0.0</c:formatCode>
                <c:ptCount val="13"/>
                <c:pt idx="0">
                  <c:v>6.928571428571428</c:v>
                </c:pt>
                <c:pt idx="1">
                  <c:v>7.365079365079365</c:v>
                </c:pt>
                <c:pt idx="2">
                  <c:v>7.071428571428571</c:v>
                </c:pt>
                <c:pt idx="3">
                  <c:v>6.968253968253968</c:v>
                </c:pt>
                <c:pt idx="4">
                  <c:v>8.095238095238094</c:v>
                </c:pt>
                <c:pt idx="5">
                  <c:v>7.087301587301587</c:v>
                </c:pt>
                <c:pt idx="6">
                  <c:v>7.746031746031746</c:v>
                </c:pt>
                <c:pt idx="7">
                  <c:v>6.923809523809523</c:v>
                </c:pt>
                <c:pt idx="8">
                  <c:v>7.374603174603174</c:v>
                </c:pt>
                <c:pt idx="9">
                  <c:v>7.051851851851852</c:v>
                </c:pt>
                <c:pt idx="10">
                  <c:v>6.885714285714286</c:v>
                </c:pt>
                <c:pt idx="11">
                  <c:v>8.124867724867725</c:v>
                </c:pt>
                <c:pt idx="12">
                  <c:v>6.068606701940034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7740024"/>
        <c:axId val="2117743544"/>
      </c:lineChart>
      <c:catAx>
        <c:axId val="2117740024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7743544"/>
        <c:crossesAt val="40.0"/>
        <c:auto val="1"/>
        <c:lblAlgn val="ctr"/>
        <c:lblOffset val="100"/>
        <c:tickMarkSkip val="1"/>
        <c:noMultiLvlLbl val="0"/>
      </c:catAx>
      <c:valAx>
        <c:axId val="2117743544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7740024"/>
        <c:crosses val="autoZero"/>
        <c:crossBetween val="between"/>
        <c:majorUnit val="1.5"/>
        <c:minorUnit val="0.7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CCFFCC" mc:Ignorable="a14" a14:legacySpreadsheetColorIndex="42"/>
        </a:gs>
        <a:gs pos="100000">
          <a:srgbClr xmlns:mc="http://schemas.openxmlformats.org/markup-compatibility/2006" xmlns:a14="http://schemas.microsoft.com/office/drawing/2010/main" val="FFFFFF" mc:Ignorable="a14" a14:legacySpreadsheetColorIndex="42">
            <a:gamma/>
            <a:tint val="0"/>
            <a:invGamma/>
          </a:srgbClr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Tagesprofile</a:t>
            </a:r>
          </a:p>
        </c:rich>
      </c:tx>
      <c:layout>
        <c:manualLayout>
          <c:xMode val="edge"/>
          <c:yMode val="edge"/>
          <c:x val="0.163265603704299"/>
          <c:y val="0.90058658603347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4241785964465"/>
          <c:y val="0.0193066036016331"/>
          <c:w val="0.824264293424262"/>
          <c:h val="0.787525865630074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'(intern)'!$B$3</c:f>
              <c:strCache>
                <c:ptCount val="1"/>
                <c:pt idx="0">
                  <c:v>KW 1</c:v>
                </c:pt>
              </c:strCache>
            </c:strRef>
          </c:tx>
          <c:spPr>
            <a:ln w="38100">
              <a:solidFill>
                <a:srgbClr val="800000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'(intern)'!$B$4:$B$12</c:f>
              <c:numCache>
                <c:formatCode>0.0</c:formatCode>
                <c:ptCount val="9"/>
                <c:pt idx="0">
                  <c:v>6.166666666666667</c:v>
                </c:pt>
                <c:pt idx="1">
                  <c:v>8.222222222222221</c:v>
                </c:pt>
                <c:pt idx="2">
                  <c:v>4.777777777777778</c:v>
                </c:pt>
                <c:pt idx="3">
                  <c:v>10.61111111111111</c:v>
                </c:pt>
                <c:pt idx="4">
                  <c:v>6.944444444444444</c:v>
                </c:pt>
                <c:pt idx="5">
                  <c:v>7.722222222222222</c:v>
                </c:pt>
                <c:pt idx="6">
                  <c:v>7.388888888888889</c:v>
                </c:pt>
                <c:pt idx="7">
                  <c:v>5.888888888888889</c:v>
                </c:pt>
                <c:pt idx="8">
                  <c:v>6.166666666666667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'(intern)'!$C$3</c:f>
              <c:strCache>
                <c:ptCount val="1"/>
                <c:pt idx="0">
                  <c:v>KW 2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'(intern)'!$C$4:$C$12</c:f>
              <c:numCache>
                <c:formatCode>0.0</c:formatCode>
                <c:ptCount val="9"/>
                <c:pt idx="0">
                  <c:v>6.111111111111111</c:v>
                </c:pt>
                <c:pt idx="1">
                  <c:v>9.055555555555555</c:v>
                </c:pt>
                <c:pt idx="2">
                  <c:v>6.777777777777778</c:v>
                </c:pt>
                <c:pt idx="3">
                  <c:v>6.222222222222222</c:v>
                </c:pt>
                <c:pt idx="4">
                  <c:v>8.277777777777779</c:v>
                </c:pt>
                <c:pt idx="5">
                  <c:v>10.72222222222222</c:v>
                </c:pt>
                <c:pt idx="6">
                  <c:v>9.0</c:v>
                </c:pt>
                <c:pt idx="7">
                  <c:v>5.666666666666667</c:v>
                </c:pt>
                <c:pt idx="8">
                  <c:v>6.111111111111111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'(intern)'!$D$3</c:f>
              <c:strCache>
                <c:ptCount val="1"/>
                <c:pt idx="0">
                  <c:v>KW 3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'(intern)'!$D$4:$D$12</c:f>
              <c:numCache>
                <c:formatCode>0.0</c:formatCode>
                <c:ptCount val="9"/>
                <c:pt idx="0">
                  <c:v>6.0</c:v>
                </c:pt>
                <c:pt idx="1">
                  <c:v>10.38888888888889</c:v>
                </c:pt>
                <c:pt idx="2">
                  <c:v>6.777777777777778</c:v>
                </c:pt>
                <c:pt idx="3">
                  <c:v>6.388888888888889</c:v>
                </c:pt>
                <c:pt idx="4">
                  <c:v>7.055555555555555</c:v>
                </c:pt>
                <c:pt idx="5">
                  <c:v>9.222222222222221</c:v>
                </c:pt>
                <c:pt idx="6">
                  <c:v>7.555555555555555</c:v>
                </c:pt>
                <c:pt idx="7">
                  <c:v>6.5</c:v>
                </c:pt>
                <c:pt idx="8">
                  <c:v>6.0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'(intern)'!$E$3</c:f>
              <c:strCache>
                <c:ptCount val="1"/>
                <c:pt idx="0">
                  <c:v>KW 4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ysDash"/>
            </a:ln>
          </c:spPr>
          <c:marker>
            <c:symbol val="circle"/>
            <c:size val="4"/>
            <c:spPr>
              <a:solidFill>
                <a:srgbClr val="FF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'(intern)'!$E$4:$E$12</c:f>
              <c:numCache>
                <c:formatCode>0.0</c:formatCode>
                <c:ptCount val="9"/>
                <c:pt idx="0">
                  <c:v>6.222222222222222</c:v>
                </c:pt>
                <c:pt idx="1">
                  <c:v>10.33333333333333</c:v>
                </c:pt>
                <c:pt idx="2">
                  <c:v>8.777777777777778</c:v>
                </c:pt>
                <c:pt idx="3">
                  <c:v>5.388888888888889</c:v>
                </c:pt>
                <c:pt idx="4">
                  <c:v>5.0</c:v>
                </c:pt>
                <c:pt idx="5">
                  <c:v>11.94444444444444</c:v>
                </c:pt>
                <c:pt idx="6">
                  <c:v>5.277777777777778</c:v>
                </c:pt>
                <c:pt idx="7">
                  <c:v>6.555555555555555</c:v>
                </c:pt>
                <c:pt idx="8">
                  <c:v>6.222222222222222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'(intern)'!$F$3</c:f>
              <c:strCache>
                <c:ptCount val="1"/>
                <c:pt idx="0">
                  <c:v>KW 5</c:v>
                </c:pt>
              </c:strCache>
            </c:strRef>
          </c:tx>
          <c:spPr>
            <a:ln w="38100">
              <a:solidFill>
                <a:srgbClr val="99CC00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'(intern)'!$F$4:$F$12</c:f>
              <c:numCache>
                <c:formatCode>0.0</c:formatCode>
                <c:ptCount val="9"/>
                <c:pt idx="0">
                  <c:v>6.0</c:v>
                </c:pt>
                <c:pt idx="1">
                  <c:v>10.55555555555556</c:v>
                </c:pt>
                <c:pt idx="2">
                  <c:v>8.722222222222221</c:v>
                </c:pt>
                <c:pt idx="3">
                  <c:v>6.0</c:v>
                </c:pt>
                <c:pt idx="4">
                  <c:v>9.166666666666666</c:v>
                </c:pt>
                <c:pt idx="5">
                  <c:v>10.66666666666667</c:v>
                </c:pt>
                <c:pt idx="6">
                  <c:v>9.722222222222221</c:v>
                </c:pt>
                <c:pt idx="7">
                  <c:v>6.5</c:v>
                </c:pt>
                <c:pt idx="8">
                  <c:v>6.0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'(intern)'!$G$3</c:f>
              <c:strCache>
                <c:ptCount val="1"/>
                <c:pt idx="0">
                  <c:v>KW 6</c:v>
                </c:pt>
              </c:strCache>
            </c:strRef>
          </c:tx>
          <c:spPr>
            <a:ln w="38100">
              <a:solidFill>
                <a:srgbClr val="339966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'(intern)'!$G$4:$G$12</c:f>
              <c:numCache>
                <c:formatCode>0.0</c:formatCode>
                <c:ptCount val="9"/>
                <c:pt idx="0">
                  <c:v>6.277777777777778</c:v>
                </c:pt>
                <c:pt idx="1">
                  <c:v>12.11111111111111</c:v>
                </c:pt>
                <c:pt idx="2">
                  <c:v>8.055555555555555</c:v>
                </c:pt>
                <c:pt idx="3">
                  <c:v>7.055555555555555</c:v>
                </c:pt>
                <c:pt idx="4">
                  <c:v>6.0</c:v>
                </c:pt>
                <c:pt idx="5">
                  <c:v>5.944444444444444</c:v>
                </c:pt>
                <c:pt idx="6">
                  <c:v>10.0</c:v>
                </c:pt>
                <c:pt idx="7">
                  <c:v>5.277777777777778</c:v>
                </c:pt>
                <c:pt idx="8">
                  <c:v>6.277777777777778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'(intern)'!$H$3</c:f>
              <c:strCache>
                <c:ptCount val="1"/>
                <c:pt idx="0">
                  <c:v>KW 7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008000"/>
              </a:solidFill>
              <a:ln>
                <a:solidFill>
                  <a:srgbClr val="008000">
                    <a:alpha val="70000"/>
                  </a:srgbClr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'(intern)'!$H$4:$H$12</c:f>
              <c:numCache>
                <c:formatCode>0.0</c:formatCode>
                <c:ptCount val="9"/>
                <c:pt idx="0">
                  <c:v>6.222222222222222</c:v>
                </c:pt>
                <c:pt idx="1">
                  <c:v>9.88888888888889</c:v>
                </c:pt>
                <c:pt idx="2">
                  <c:v>6.777777777777778</c:v>
                </c:pt>
                <c:pt idx="3">
                  <c:v>8.722222222222221</c:v>
                </c:pt>
                <c:pt idx="4">
                  <c:v>9.166666666666666</c:v>
                </c:pt>
                <c:pt idx="5">
                  <c:v>10.72222222222222</c:v>
                </c:pt>
                <c:pt idx="6">
                  <c:v>7.222222222222222</c:v>
                </c:pt>
                <c:pt idx="7">
                  <c:v>5.555555555555555</c:v>
                </c:pt>
                <c:pt idx="8">
                  <c:v>6.222222222222222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'(intern)'!$I$3</c:f>
              <c:strCache>
                <c:ptCount val="1"/>
                <c:pt idx="0">
                  <c:v>KW 8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33CCCC"/>
              </a:solidFill>
              <a:ln>
                <a:solidFill>
                  <a:srgbClr val="33CCCC">
                    <a:alpha val="60000"/>
                  </a:srgbClr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'(intern)'!$I$4:$I$12</c:f>
              <c:numCache>
                <c:formatCode>0.0</c:formatCode>
                <c:ptCount val="9"/>
                <c:pt idx="0">
                  <c:v>6.2</c:v>
                </c:pt>
                <c:pt idx="1">
                  <c:v>8.2</c:v>
                </c:pt>
                <c:pt idx="2">
                  <c:v>4.8</c:v>
                </c:pt>
                <c:pt idx="3">
                  <c:v>10.6</c:v>
                </c:pt>
                <c:pt idx="4">
                  <c:v>6.9</c:v>
                </c:pt>
                <c:pt idx="5">
                  <c:v>7.7</c:v>
                </c:pt>
                <c:pt idx="6">
                  <c:v>7.4</c:v>
                </c:pt>
                <c:pt idx="7">
                  <c:v>5.9</c:v>
                </c:pt>
                <c:pt idx="8">
                  <c:v>6.166666666666667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'(intern)'!$J$3</c:f>
              <c:strCache>
                <c:ptCount val="1"/>
                <c:pt idx="0">
                  <c:v>KW 9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3366FF"/>
              </a:solidFill>
              <a:ln>
                <a:solidFill>
                  <a:srgbClr val="3366FF">
                    <a:alpha val="50000"/>
                  </a:srgbClr>
                </a:solidFill>
                <a:prstDash val="solid"/>
              </a:ln>
            </c:spPr>
          </c:marker>
          <c:val>
            <c:numRef>
              <c:f>'(intern)'!$J$4:$J$12</c:f>
              <c:numCache>
                <c:formatCode>0.0</c:formatCode>
                <c:ptCount val="9"/>
                <c:pt idx="0">
                  <c:v>6.1</c:v>
                </c:pt>
                <c:pt idx="1">
                  <c:v>9.1</c:v>
                </c:pt>
                <c:pt idx="2">
                  <c:v>6.8</c:v>
                </c:pt>
                <c:pt idx="3">
                  <c:v>6.2</c:v>
                </c:pt>
                <c:pt idx="4">
                  <c:v>8.2</c:v>
                </c:pt>
                <c:pt idx="5">
                  <c:v>10.7</c:v>
                </c:pt>
                <c:pt idx="6">
                  <c:v>9.0</c:v>
                </c:pt>
                <c:pt idx="7">
                  <c:v>5.8</c:v>
                </c:pt>
                <c:pt idx="8">
                  <c:v>6.222222222222222</c:v>
                </c:pt>
              </c:numCache>
            </c:numRef>
          </c:val>
          <c:smooth val="1"/>
        </c:ser>
        <c:ser>
          <c:idx val="9"/>
          <c:order val="9"/>
          <c:tx>
            <c:strRef>
              <c:f>'(intern)'!$K$3</c:f>
              <c:strCache>
                <c:ptCount val="1"/>
                <c:pt idx="0">
                  <c:v>KW 10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000080"/>
              </a:solidFill>
              <a:ln>
                <a:solidFill>
                  <a:srgbClr val="000080">
                    <a:alpha val="40000"/>
                  </a:srgbClr>
                </a:solidFill>
                <a:prstDash val="solid"/>
              </a:ln>
            </c:spPr>
          </c:marker>
          <c:val>
            <c:numRef>
              <c:f>'(intern)'!$K$4:$K$12</c:f>
              <c:numCache>
                <c:formatCode>0.0</c:formatCode>
                <c:ptCount val="9"/>
                <c:pt idx="0">
                  <c:v>6.0</c:v>
                </c:pt>
                <c:pt idx="1">
                  <c:v>9.062962962962963</c:v>
                </c:pt>
                <c:pt idx="2">
                  <c:v>10.3</c:v>
                </c:pt>
                <c:pt idx="3">
                  <c:v>6.8</c:v>
                </c:pt>
                <c:pt idx="4">
                  <c:v>6.4</c:v>
                </c:pt>
                <c:pt idx="5">
                  <c:v>7.0</c:v>
                </c:pt>
                <c:pt idx="6">
                  <c:v>7.6</c:v>
                </c:pt>
                <c:pt idx="7">
                  <c:v>6.5</c:v>
                </c:pt>
                <c:pt idx="8">
                  <c:v>6.0</c:v>
                </c:pt>
              </c:numCache>
            </c:numRef>
          </c:val>
          <c:smooth val="1"/>
        </c:ser>
        <c:ser>
          <c:idx val="10"/>
          <c:order val="10"/>
          <c:tx>
            <c:strRef>
              <c:f>'(intern)'!$L$3</c:f>
              <c:strCache>
                <c:ptCount val="1"/>
                <c:pt idx="0">
                  <c:v>KW 11</c:v>
                </c:pt>
              </c:strCache>
            </c:strRef>
          </c:tx>
          <c:spPr>
            <a:ln w="38100">
              <a:solidFill>
                <a:srgbClr val="B300B3"/>
              </a:solidFill>
              <a:prstDash val="sysDot"/>
            </a:ln>
          </c:spPr>
          <c:marker>
            <c:symbol val="circle"/>
            <c:size val="3"/>
            <c:spPr>
              <a:solidFill>
                <a:srgbClr val="800080"/>
              </a:solidFill>
              <a:ln>
                <a:solidFill>
                  <a:srgbClr val="800080">
                    <a:alpha val="30000"/>
                  </a:srgbClr>
                </a:solidFill>
                <a:prstDash val="solid"/>
              </a:ln>
            </c:spPr>
          </c:marker>
          <c:val>
            <c:numRef>
              <c:f>'(intern)'!$L$4:$L$12</c:f>
              <c:numCache>
                <c:formatCode>0.0</c:formatCode>
                <c:ptCount val="9"/>
                <c:pt idx="0">
                  <c:v>6.2</c:v>
                </c:pt>
                <c:pt idx="1">
                  <c:v>10.3</c:v>
                </c:pt>
                <c:pt idx="2">
                  <c:v>8.2</c:v>
                </c:pt>
                <c:pt idx="3">
                  <c:v>5.4</c:v>
                </c:pt>
                <c:pt idx="4">
                  <c:v>5.0</c:v>
                </c:pt>
                <c:pt idx="5">
                  <c:v>11.9</c:v>
                </c:pt>
                <c:pt idx="6">
                  <c:v>5.3</c:v>
                </c:pt>
                <c:pt idx="7">
                  <c:v>6.6</c:v>
                </c:pt>
                <c:pt idx="8">
                  <c:v>6.2</c:v>
                </c:pt>
              </c:numCache>
            </c:numRef>
          </c:val>
          <c:smooth val="1"/>
        </c:ser>
        <c:ser>
          <c:idx val="11"/>
          <c:order val="11"/>
          <c:tx>
            <c:strRef>
              <c:f>'(intern)'!$M$3</c:f>
              <c:strCache>
                <c:ptCount val="1"/>
                <c:pt idx="0">
                  <c:v>KW 12</c:v>
                </c:pt>
              </c:strCache>
            </c:strRef>
          </c:tx>
          <c:spPr>
            <a:ln w="25400">
              <a:solidFill>
                <a:srgbClr val="802954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993366"/>
              </a:solidFill>
              <a:ln>
                <a:solidFill>
                  <a:srgbClr val="993366">
                    <a:alpha val="20000"/>
                  </a:srgbClr>
                </a:solidFill>
                <a:prstDash val="solid"/>
              </a:ln>
            </c:spPr>
          </c:marker>
          <c:val>
            <c:numRef>
              <c:f>'(intern)'!$M$4:$M$12</c:f>
              <c:numCache>
                <c:formatCode>0.0</c:formatCode>
                <c:ptCount val="9"/>
                <c:pt idx="0">
                  <c:v>6.0</c:v>
                </c:pt>
                <c:pt idx="1">
                  <c:v>10.5</c:v>
                </c:pt>
                <c:pt idx="2">
                  <c:v>8.7</c:v>
                </c:pt>
                <c:pt idx="3">
                  <c:v>6.133333333333332</c:v>
                </c:pt>
                <c:pt idx="4">
                  <c:v>9.2</c:v>
                </c:pt>
                <c:pt idx="5">
                  <c:v>10.8</c:v>
                </c:pt>
                <c:pt idx="6">
                  <c:v>9.7</c:v>
                </c:pt>
                <c:pt idx="7">
                  <c:v>6.5</c:v>
                </c:pt>
                <c:pt idx="8">
                  <c:v>6.14074074074074</c:v>
                </c:pt>
              </c:numCache>
            </c:numRef>
          </c:val>
          <c:smooth val="1"/>
        </c:ser>
        <c:ser>
          <c:idx val="12"/>
          <c:order val="12"/>
          <c:tx>
            <c:strRef>
              <c:f>'(intern)'!$N$3</c:f>
              <c:strCache>
                <c:ptCount val="1"/>
                <c:pt idx="0">
                  <c:v>KW 13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FF00FF"/>
              </a:solidFill>
              <a:ln>
                <a:solidFill>
                  <a:srgbClr val="FF00FF">
                    <a:alpha val="10000"/>
                  </a:srgbClr>
                </a:solidFill>
                <a:prstDash val="solid"/>
              </a:ln>
            </c:spPr>
          </c:marker>
          <c:val>
            <c:numRef>
              <c:f>'(intern)'!$N$4:$N$12</c:f>
              <c:numCache>
                <c:formatCode>0.0</c:formatCode>
                <c:ptCount val="9"/>
                <c:pt idx="0">
                  <c:v>6.2</c:v>
                </c:pt>
                <c:pt idx="1">
                  <c:v>9.6</c:v>
                </c:pt>
                <c:pt idx="2">
                  <c:v>6.0</c:v>
                </c:pt>
                <c:pt idx="3">
                  <c:v>4.5</c:v>
                </c:pt>
                <c:pt idx="4">
                  <c:v>4.9</c:v>
                </c:pt>
                <c:pt idx="5">
                  <c:v>5.2</c:v>
                </c:pt>
                <c:pt idx="6">
                  <c:v>7.533333333333332</c:v>
                </c:pt>
                <c:pt idx="7">
                  <c:v>6.533333333333334</c:v>
                </c:pt>
                <c:pt idx="8">
                  <c:v>6.113580246913579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4775960"/>
        <c:axId val="2114781080"/>
      </c:lineChart>
      <c:catAx>
        <c:axId val="2114775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4781080"/>
        <c:crossesAt val="2.0"/>
        <c:auto val="1"/>
        <c:lblAlgn val="ctr"/>
        <c:lblOffset val="100"/>
        <c:tickLblSkip val="1"/>
        <c:tickMarkSkip val="1"/>
        <c:noMultiLvlLbl val="0"/>
      </c:catAx>
      <c:valAx>
        <c:axId val="2114781080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4775960"/>
        <c:crosses val="autoZero"/>
        <c:crossBetween val="between"/>
        <c:majorUnit val="1.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00793650793650794"/>
          <c:y val="0.01364522417154"/>
          <c:w val="0.102320705338222"/>
          <c:h val="0.983162640492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2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CCFFCC" mc:Ignorable="a14" a14:legacySpreadsheetColorIndex="42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vert="horz"/>
          <a:lstStyle/>
          <a:p>
            <a:pPr algn="ctr">
              <a:defRPr sz="1125" b="1" i="0" u="none" strike="noStrike" baseline="0">
                <a:solidFill>
                  <a:srgbClr val="993300"/>
                </a:solidFill>
                <a:latin typeface="Arial" charset="0"/>
                <a:ea typeface="Arial" charset="0"/>
                <a:cs typeface="Arial" charset="0"/>
              </a:defRPr>
            </a:pPr>
            <a:r>
              <a:rPr lang="de-DE">
                <a:latin typeface="Arial" charset="0"/>
                <a:ea typeface="Arial" charset="0"/>
                <a:cs typeface="Arial" charset="0"/>
              </a:rPr>
              <a:t>Statistik</a:t>
            </a:r>
          </a:p>
        </c:rich>
      </c:tx>
      <c:layout>
        <c:manualLayout>
          <c:xMode val="edge"/>
          <c:yMode val="edge"/>
          <c:x val="0.00840336134453781"/>
          <c:y val="0.023255813953488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2222965251353"/>
          <c:y val="0.0387400728351977"/>
          <c:w val="0.87007136607924"/>
          <c:h val="0.728869181262237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'(intern)'!$C$23</c:f>
              <c:strCache>
                <c:ptCount val="1"/>
                <c:pt idx="0">
                  <c:v>+1,645σ</c:v>
                </c:pt>
              </c:strCache>
            </c:strRef>
          </c:tx>
          <c:spPr>
            <a:ln>
              <a:solidFill>
                <a:schemeClr val="accent3">
                  <a:lumMod val="75000"/>
                  <a:alpha val="50000"/>
                </a:schemeClr>
              </a:solidFill>
            </a:ln>
          </c:spPr>
          <c:marker>
            <c:symbol val="none"/>
          </c:marker>
          <c:cat>
            <c:strRef>
              <c:f>'(intern)'!$B$24:$B$32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'(intern)'!$C$24:$C$32</c:f>
              <c:numCache>
                <c:formatCode>0.0</c:formatCode>
                <c:ptCount val="9"/>
                <c:pt idx="0">
                  <c:v>6.297814161797601</c:v>
                </c:pt>
                <c:pt idx="1">
                  <c:v>11.56847346925918</c:v>
                </c:pt>
                <c:pt idx="2">
                  <c:v>10.02534590164126</c:v>
                </c:pt>
                <c:pt idx="3">
                  <c:v>10.06435628051666</c:v>
                </c:pt>
                <c:pt idx="4">
                  <c:v>9.736061417508297</c:v>
                </c:pt>
                <c:pt idx="5">
                  <c:v>12.99649194627097</c:v>
                </c:pt>
                <c:pt idx="6">
                  <c:v>10.42800014264111</c:v>
                </c:pt>
                <c:pt idx="7">
                  <c:v>6.902835439753025</c:v>
                </c:pt>
                <c:pt idx="8">
                  <c:v>6.295351581458448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'(intern)'!$D$23</c:f>
              <c:strCache>
                <c:ptCount val="1"/>
                <c:pt idx="0">
                  <c:v>- 1,645σ</c:v>
                </c:pt>
              </c:strCache>
            </c:strRef>
          </c:tx>
          <c:spPr>
            <a:ln>
              <a:solidFill>
                <a:srgbClr val="FF0000">
                  <a:alpha val="50000"/>
                </a:srgbClr>
              </a:solidFill>
            </a:ln>
          </c:spPr>
          <c:marker>
            <c:symbol val="none"/>
          </c:marker>
          <c:cat>
            <c:strRef>
              <c:f>'(intern)'!$B$24:$B$32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'(intern)'!$D$24:$D$32</c:f>
              <c:numCache>
                <c:formatCode>0.0</c:formatCode>
                <c:ptCount val="9"/>
                <c:pt idx="0">
                  <c:v>5.963724299740861</c:v>
                </c:pt>
                <c:pt idx="1">
                  <c:v>8.018990918205208</c:v>
                </c:pt>
                <c:pt idx="2">
                  <c:v>4.66183358553823</c:v>
                </c:pt>
                <c:pt idx="3">
                  <c:v>3.785216369055988</c:v>
                </c:pt>
                <c:pt idx="4">
                  <c:v>4.45026336881649</c:v>
                </c:pt>
                <c:pt idx="5">
                  <c:v>5.502653352874323</c:v>
                </c:pt>
                <c:pt idx="6">
                  <c:v>5.37199985735889</c:v>
                </c:pt>
                <c:pt idx="7">
                  <c:v>5.370668833751246</c:v>
                </c:pt>
                <c:pt idx="8">
                  <c:v>5.98821916877897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'(intern)'!$E$23</c:f>
              <c:strCache>
                <c:ptCount val="1"/>
                <c:pt idx="0">
                  <c:v>MW</c:v>
                </c:pt>
              </c:strCache>
            </c:strRef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Ref>
              <c:f>'(intern)'!$B$24:$B$32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'(intern)'!$E$24:$E$32</c:f>
              <c:numCache>
                <c:formatCode>0.0</c:formatCode>
                <c:ptCount val="9"/>
                <c:pt idx="0">
                  <c:v>6.130769230769231</c:v>
                </c:pt>
                <c:pt idx="1">
                  <c:v>9.793732193732193</c:v>
                </c:pt>
                <c:pt idx="2">
                  <c:v>7.343589743589744</c:v>
                </c:pt>
                <c:pt idx="3">
                  <c:v>6.924786324786326</c:v>
                </c:pt>
                <c:pt idx="4">
                  <c:v>7.093162393162393</c:v>
                </c:pt>
                <c:pt idx="5">
                  <c:v>9.249572649572648</c:v>
                </c:pt>
                <c:pt idx="6">
                  <c:v>7.899999999999999</c:v>
                </c:pt>
                <c:pt idx="7">
                  <c:v>6.136752136752136</c:v>
                </c:pt>
                <c:pt idx="8">
                  <c:v>6.141785375118709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4813832"/>
        <c:axId val="2114817176"/>
      </c:lineChart>
      <c:catAx>
        <c:axId val="211481383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4817176"/>
        <c:crossesAt val="2.0"/>
        <c:auto val="1"/>
        <c:lblAlgn val="ctr"/>
        <c:lblOffset val="100"/>
        <c:noMultiLvlLbl val="0"/>
      </c:catAx>
      <c:valAx>
        <c:axId val="2114817176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93300"/>
              </a:solidFill>
              <a:prstDash val="solid"/>
            </a:ln>
          </c:spPr>
        </c:majorGridlines>
        <c:numFmt formatCode="0.0" sourceLinked="0"/>
        <c:majorTickMark val="cross"/>
        <c:minorTickMark val="none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4813832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9933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99330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2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CCFFCC" mc:Ignorable="a14" a14:legacySpreadsheetColorIndex="42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Verlauf</a:t>
            </a:r>
          </a:p>
        </c:rich>
      </c:tx>
      <c:layout>
        <c:manualLayout>
          <c:xMode val="edge"/>
          <c:yMode val="edge"/>
          <c:x val="0.00391280044717719"/>
          <c:y val="0.011006289308176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4238925113545"/>
          <c:y val="0.0298742941111664"/>
          <c:w val="0.881289984223249"/>
          <c:h val="0.509435331158838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'(intern)'!$A$4</c:f>
              <c:strCache>
                <c:ptCount val="1"/>
                <c:pt idx="0">
                  <c:v>07:00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'(intern)'!$O$4:$AA$4</c:f>
              <c:numCache>
                <c:formatCode>0.0</c:formatCode>
                <c:ptCount val="13"/>
                <c:pt idx="0">
                  <c:v>6.2</c:v>
                </c:pt>
                <c:pt idx="1">
                  <c:v>5.9</c:v>
                </c:pt>
                <c:pt idx="2">
                  <c:v>6.100000000000001</c:v>
                </c:pt>
                <c:pt idx="3">
                  <c:v>6.066666666666667</c:v>
                </c:pt>
                <c:pt idx="4">
                  <c:v>6.022222222222222</c:v>
                </c:pt>
                <c:pt idx="5">
                  <c:v>6.062962962962963</c:v>
                </c:pt>
                <c:pt idx="6">
                  <c:v>6.050617283950617</c:v>
                </c:pt>
                <c:pt idx="7">
                  <c:v>6.045267489711934</c:v>
                </c:pt>
                <c:pt idx="8">
                  <c:v>6.05294924554184</c:v>
                </c:pt>
                <c:pt idx="9">
                  <c:v>6.049611339734798</c:v>
                </c:pt>
                <c:pt idx="10">
                  <c:v>6.049276024996191</c:v>
                </c:pt>
                <c:pt idx="11">
                  <c:v>6.050612203424276</c:v>
                </c:pt>
                <c:pt idx="12">
                  <c:v>6.04983318938509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'(intern)'!$A$5</c:f>
              <c:strCache>
                <c:ptCount val="1"/>
                <c:pt idx="0">
                  <c:v>09:30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9"/>
            <c:spPr>
              <a:solidFill>
                <a:srgbClr val="FF99CC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'(intern)'!$O$5:$AA$5</c:f>
              <c:numCache>
                <c:formatCode>0.0</c:formatCode>
                <c:ptCount val="13"/>
                <c:pt idx="0">
                  <c:v>10.13333333333333</c:v>
                </c:pt>
                <c:pt idx="1">
                  <c:v>9.4</c:v>
                </c:pt>
                <c:pt idx="2">
                  <c:v>9.71111111111111</c:v>
                </c:pt>
                <c:pt idx="3">
                  <c:v>9.748148148148147</c:v>
                </c:pt>
                <c:pt idx="4">
                  <c:v>9.619753086419752</c:v>
                </c:pt>
                <c:pt idx="5">
                  <c:v>9.693004115226335</c:v>
                </c:pt>
                <c:pt idx="6">
                  <c:v>9.686968449931411</c:v>
                </c:pt>
                <c:pt idx="7">
                  <c:v>9.6665752171925</c:v>
                </c:pt>
                <c:pt idx="8">
                  <c:v>9.682182594116747</c:v>
                </c:pt>
                <c:pt idx="9">
                  <c:v>9.678575420413553</c:v>
                </c:pt>
                <c:pt idx="10">
                  <c:v>9.6757777439076</c:v>
                </c:pt>
                <c:pt idx="11">
                  <c:v>9.678845252812633</c:v>
                </c:pt>
                <c:pt idx="12">
                  <c:v>9.677732805711263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'(intern)'!$A$6</c:f>
              <c:strCache>
                <c:ptCount val="1"/>
                <c:pt idx="0">
                  <c:v>12:00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8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'(intern)'!$O$6:$AA$6</c:f>
              <c:numCache>
                <c:formatCode>0.0</c:formatCode>
                <c:ptCount val="13"/>
                <c:pt idx="0">
                  <c:v>7.633333333333332</c:v>
                </c:pt>
                <c:pt idx="1">
                  <c:v>7.4</c:v>
                </c:pt>
                <c:pt idx="2">
                  <c:v>7.01111111111111</c:v>
                </c:pt>
                <c:pt idx="3">
                  <c:v>7.348148148148148</c:v>
                </c:pt>
                <c:pt idx="4">
                  <c:v>7.253086419753086</c:v>
                </c:pt>
                <c:pt idx="5">
                  <c:v>7.204115226337447</c:v>
                </c:pt>
                <c:pt idx="6">
                  <c:v>7.268449931412893</c:v>
                </c:pt>
                <c:pt idx="7">
                  <c:v>7.241883859167809</c:v>
                </c:pt>
                <c:pt idx="8">
                  <c:v>7.23814967230605</c:v>
                </c:pt>
                <c:pt idx="9">
                  <c:v>7.249494487628918</c:v>
                </c:pt>
                <c:pt idx="10">
                  <c:v>7.243176006367592</c:v>
                </c:pt>
                <c:pt idx="11">
                  <c:v>7.243606722100853</c:v>
                </c:pt>
                <c:pt idx="12">
                  <c:v>7.245425738699121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'(intern)'!$A$7</c:f>
              <c:strCache>
                <c:ptCount val="1"/>
                <c:pt idx="0">
                  <c:v>14:30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'(intern)'!$O$7:$AA$7</c:f>
              <c:numCache>
                <c:formatCode>0.0</c:formatCode>
                <c:ptCount val="13"/>
                <c:pt idx="0">
                  <c:v>5.344444444444444</c:v>
                </c:pt>
                <c:pt idx="1">
                  <c:v>6.0</c:v>
                </c:pt>
                <c:pt idx="2">
                  <c:v>5.281481481481481</c:v>
                </c:pt>
                <c:pt idx="3">
                  <c:v>5.541975308641976</c:v>
                </c:pt>
                <c:pt idx="4">
                  <c:v>5.607818930041152</c:v>
                </c:pt>
                <c:pt idx="5">
                  <c:v>5.477091906721536</c:v>
                </c:pt>
                <c:pt idx="6">
                  <c:v>5.542295381801555</c:v>
                </c:pt>
                <c:pt idx="7">
                  <c:v>5.542402072854748</c:v>
                </c:pt>
                <c:pt idx="8">
                  <c:v>5.520596453792614</c:v>
                </c:pt>
                <c:pt idx="9">
                  <c:v>5.535097969482972</c:v>
                </c:pt>
                <c:pt idx="10">
                  <c:v>5.532698832043444</c:v>
                </c:pt>
                <c:pt idx="11">
                  <c:v>5.529464418439676</c:v>
                </c:pt>
                <c:pt idx="12">
                  <c:v>5.532420406655364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'(intern)'!$A$8</c:f>
              <c:strCache>
                <c:ptCount val="1"/>
                <c:pt idx="0">
                  <c:v>17:30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'(intern)'!$O$8:$AA$8</c:f>
              <c:numCache>
                <c:formatCode>0.0</c:formatCode>
                <c:ptCount val="13"/>
                <c:pt idx="0">
                  <c:v>6.8</c:v>
                </c:pt>
                <c:pt idx="1">
                  <c:v>8.2</c:v>
                </c:pt>
                <c:pt idx="2">
                  <c:v>6.633333333333332</c:v>
                </c:pt>
                <c:pt idx="3">
                  <c:v>7.211111111111111</c:v>
                </c:pt>
                <c:pt idx="4">
                  <c:v>7.348148148148148</c:v>
                </c:pt>
                <c:pt idx="5">
                  <c:v>7.064197530864198</c:v>
                </c:pt>
                <c:pt idx="6">
                  <c:v>7.207818930041153</c:v>
                </c:pt>
                <c:pt idx="7">
                  <c:v>7.206721536351166</c:v>
                </c:pt>
                <c:pt idx="8">
                  <c:v>7.15957933241884</c:v>
                </c:pt>
                <c:pt idx="9">
                  <c:v>7.191373266270387</c:v>
                </c:pt>
                <c:pt idx="10">
                  <c:v>7.185891378346798</c:v>
                </c:pt>
                <c:pt idx="11">
                  <c:v>7.178947992345342</c:v>
                </c:pt>
                <c:pt idx="12">
                  <c:v>7.185404212320843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'(intern)'!$A$9</c:f>
              <c:strCache>
                <c:ptCount val="1"/>
                <c:pt idx="0">
                  <c:v>20:00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'(intern)'!$O$9:$AA$9</c:f>
              <c:numCache>
                <c:formatCode>0.0</c:formatCode>
                <c:ptCount val="13"/>
                <c:pt idx="0">
                  <c:v>5.2</c:v>
                </c:pt>
                <c:pt idx="1">
                  <c:v>8.7</c:v>
                </c:pt>
                <c:pt idx="2">
                  <c:v>6.366666666666667</c:v>
                </c:pt>
                <c:pt idx="3">
                  <c:v>6.755555555555555</c:v>
                </c:pt>
                <c:pt idx="4">
                  <c:v>7.274074074074074</c:v>
                </c:pt>
                <c:pt idx="5">
                  <c:v>6.798765432098765</c:v>
                </c:pt>
                <c:pt idx="6">
                  <c:v>6.942798353909465</c:v>
                </c:pt>
                <c:pt idx="7">
                  <c:v>7.005212620027436</c:v>
                </c:pt>
                <c:pt idx="8">
                  <c:v>6.915592135345222</c:v>
                </c:pt>
                <c:pt idx="9">
                  <c:v>6.954534369760708</c:v>
                </c:pt>
                <c:pt idx="10">
                  <c:v>6.958446375044455</c:v>
                </c:pt>
                <c:pt idx="11">
                  <c:v>6.942857626716795</c:v>
                </c:pt>
                <c:pt idx="12">
                  <c:v>6.951946123840652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'(intern)'!$A$10</c:f>
              <c:strCache>
                <c:ptCount val="1"/>
                <c:pt idx="0">
                  <c:v>23:00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660066"/>
              </a:solidFill>
              <a:ln>
                <a:solidFill>
                  <a:srgbClr val="660066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'(intern)'!$O$10:$AA$10</c:f>
              <c:numCache>
                <c:formatCode>0.0</c:formatCode>
                <c:ptCount val="13"/>
                <c:pt idx="0">
                  <c:v>5.3</c:v>
                </c:pt>
                <c:pt idx="1">
                  <c:v>7.9</c:v>
                </c:pt>
                <c:pt idx="2">
                  <c:v>6.911111111111111</c:v>
                </c:pt>
                <c:pt idx="3">
                  <c:v>6.703703703703703</c:v>
                </c:pt>
                <c:pt idx="4">
                  <c:v>7.171604938271605</c:v>
                </c:pt>
                <c:pt idx="5">
                  <c:v>6.92880658436214</c:v>
                </c:pt>
                <c:pt idx="6">
                  <c:v>6.934705075445816</c:v>
                </c:pt>
                <c:pt idx="7">
                  <c:v>7.011705532693187</c:v>
                </c:pt>
                <c:pt idx="8">
                  <c:v>6.958405730833714</c:v>
                </c:pt>
                <c:pt idx="9">
                  <c:v>6.968272112990906</c:v>
                </c:pt>
                <c:pt idx="10">
                  <c:v>6.979461125505935</c:v>
                </c:pt>
                <c:pt idx="11">
                  <c:v>6.968712989776852</c:v>
                </c:pt>
                <c:pt idx="12">
                  <c:v>6.972148742757897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'(intern)'!$A$11</c:f>
              <c:strCache>
                <c:ptCount val="1"/>
                <c:pt idx="0">
                  <c:v>Nacht</c:v>
                </c:pt>
              </c:strCache>
            </c:strRef>
          </c:tx>
          <c:spPr>
            <a:ln w="0">
              <a:noFill/>
              <a:prstDash val="solid"/>
            </a:ln>
          </c:spPr>
          <c:marker>
            <c:symbol val="circle"/>
            <c:size val="6"/>
            <c:spPr>
              <a:solidFill>
                <a:srgbClr val="000090"/>
              </a:solidFill>
              <a:ln w="0">
                <a:solidFill>
                  <a:srgbClr val="000090"/>
                </a:solidFill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'(intern)'!$O$11:$AA$11</c:f>
              <c:numCache>
                <c:formatCode>0.0</c:formatCode>
                <c:ptCount val="13"/>
                <c:pt idx="0">
                  <c:v>5.8</c:v>
                </c:pt>
                <c:pt idx="1">
                  <c:v>6.1</c:v>
                </c:pt>
                <c:pt idx="2">
                  <c:v>6.144444444444445</c:v>
                </c:pt>
                <c:pt idx="3">
                  <c:v>6.014814814814815</c:v>
                </c:pt>
                <c:pt idx="4">
                  <c:v>6.08641975308642</c:v>
                </c:pt>
                <c:pt idx="5">
                  <c:v>6.081893004115226</c:v>
                </c:pt>
                <c:pt idx="6">
                  <c:v>6.061042524005487</c:v>
                </c:pt>
                <c:pt idx="7">
                  <c:v>6.076451760402377</c:v>
                </c:pt>
                <c:pt idx="8">
                  <c:v>6.073129096174363</c:v>
                </c:pt>
                <c:pt idx="9">
                  <c:v>6.07020779352741</c:v>
                </c:pt>
                <c:pt idx="10">
                  <c:v>6.07326288336805</c:v>
                </c:pt>
                <c:pt idx="11">
                  <c:v>6.072199924356606</c:v>
                </c:pt>
                <c:pt idx="12">
                  <c:v>6.071890200417354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'(intern)'!$A$12</c:f>
              <c:strCache>
                <c:ptCount val="1"/>
                <c:pt idx="0">
                  <c:v>Früh</c:v>
                </c:pt>
              </c:strCache>
            </c:strRef>
          </c:tx>
          <c:spPr>
            <a:ln w="0">
              <a:noFill/>
              <a:prstDash val="solid"/>
            </a:ln>
          </c:spPr>
          <c:marker>
            <c:symbol val="triangle"/>
            <c:size val="7"/>
            <c:spPr>
              <a:solidFill>
                <a:srgbClr val="00FFFF"/>
              </a:solidFill>
              <a:ln w="0">
                <a:noFill/>
                <a:prstDash val="solid"/>
              </a:ln>
            </c:spPr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'(intern)'!$O$12:$AA$12</c:f>
              <c:numCache>
                <c:formatCode>0.0</c:formatCode>
                <c:ptCount val="13"/>
                <c:pt idx="0">
                  <c:v>6.2</c:v>
                </c:pt>
                <c:pt idx="1">
                  <c:v>6.3</c:v>
                </c:pt>
                <c:pt idx="2">
                  <c:v>6.204526748971193</c:v>
                </c:pt>
                <c:pt idx="3">
                  <c:v>6.234842249657064</c:v>
                </c:pt>
                <c:pt idx="4">
                  <c:v>6.246456332876086</c:v>
                </c:pt>
                <c:pt idx="5">
                  <c:v>6.22860844383478</c:v>
                </c:pt>
                <c:pt idx="6">
                  <c:v>6.236635675455976</c:v>
                </c:pt>
                <c:pt idx="7">
                  <c:v>6.237233484055614</c:v>
                </c:pt>
                <c:pt idx="8">
                  <c:v>6.234159201115457</c:v>
                </c:pt>
                <c:pt idx="9">
                  <c:v>6.236009453542348</c:v>
                </c:pt>
                <c:pt idx="10">
                  <c:v>6.235800712904473</c:v>
                </c:pt>
                <c:pt idx="11">
                  <c:v>6.23532312252076</c:v>
                </c:pt>
                <c:pt idx="12">
                  <c:v>6.235711096322527</c:v>
                </c:pt>
              </c:numCache>
            </c:numRef>
          </c:val>
          <c:smooth val="0"/>
        </c:ser>
        <c:ser>
          <c:idx val="9"/>
          <c:order val="9"/>
          <c:tx>
            <c:v>Tages-MW</c:v>
          </c:tx>
          <c:spPr>
            <a:ln w="254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strRef>
              <c:f>'(intern)'!$O$3:$AA$3</c:f>
              <c:strCache>
                <c:ptCount val="13"/>
                <c:pt idx="0">
                  <c:v>KW 14</c:v>
                </c:pt>
                <c:pt idx="1">
                  <c:v>KW 15</c:v>
                </c:pt>
                <c:pt idx="2">
                  <c:v>KW 16</c:v>
                </c:pt>
                <c:pt idx="3">
                  <c:v>KW 17</c:v>
                </c:pt>
                <c:pt idx="4">
                  <c:v>KW 18</c:v>
                </c:pt>
                <c:pt idx="5">
                  <c:v>KW 19</c:v>
                </c:pt>
                <c:pt idx="6">
                  <c:v>KW 20</c:v>
                </c:pt>
                <c:pt idx="7">
                  <c:v>KW 21</c:v>
                </c:pt>
                <c:pt idx="8">
                  <c:v>KW 22</c:v>
                </c:pt>
                <c:pt idx="9">
                  <c:v>KW 23</c:v>
                </c:pt>
                <c:pt idx="10">
                  <c:v>KW 24</c:v>
                </c:pt>
                <c:pt idx="11">
                  <c:v>KW 25</c:v>
                </c:pt>
                <c:pt idx="12">
                  <c:v>KW 26</c:v>
                </c:pt>
              </c:strCache>
            </c:strRef>
          </c:cat>
          <c:val>
            <c:numRef>
              <c:f>'(intern)'!$O$13:$AA$13</c:f>
              <c:numCache>
                <c:formatCode>0.0</c:formatCode>
                <c:ptCount val="13"/>
                <c:pt idx="0">
                  <c:v>6.182539682539683</c:v>
                </c:pt>
                <c:pt idx="1">
                  <c:v>7.228571428571429</c:v>
                </c:pt>
                <c:pt idx="2">
                  <c:v>6.481599059376837</c:v>
                </c:pt>
                <c:pt idx="3">
                  <c:v>6.619263178522437</c:v>
                </c:pt>
                <c:pt idx="4">
                  <c:v>6.771715984061662</c:v>
                </c:pt>
                <c:pt idx="5">
                  <c:v>6.624192740653646</c:v>
                </c:pt>
                <c:pt idx="6">
                  <c:v>6.671723967745916</c:v>
                </c:pt>
                <c:pt idx="7">
                  <c:v>6.689210897487075</c:v>
                </c:pt>
                <c:pt idx="8">
                  <c:v>6.661709201962212</c:v>
                </c:pt>
                <c:pt idx="9">
                  <c:v>6.674214689065068</c:v>
                </c:pt>
                <c:pt idx="10">
                  <c:v>6.675044929504786</c:v>
                </c:pt>
                <c:pt idx="11">
                  <c:v>6.670322940177356</c:v>
                </c:pt>
                <c:pt idx="12">
                  <c:v>6.67319418624907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7898520"/>
        <c:axId val="2117902040"/>
      </c:lineChart>
      <c:catAx>
        <c:axId val="2117898520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7902040"/>
        <c:crossesAt val="2.0"/>
        <c:auto val="1"/>
        <c:lblAlgn val="ctr"/>
        <c:lblOffset val="100"/>
        <c:tickMarkSkip val="1"/>
        <c:noMultiLvlLbl val="0"/>
      </c:catAx>
      <c:valAx>
        <c:axId val="2117902040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7898520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CC99" mc:Ignorable="a14" a14:legacySpreadsheetColorIndex="47"/>
        </a:gs>
        <a:gs pos="100000">
          <a:srgbClr xmlns:mc="http://schemas.openxmlformats.org/markup-compatibility/2006" xmlns:a14="http://schemas.microsoft.com/office/drawing/2010/main" val="FFFFFF" mc:Ignorable="a14" a14:legacySpreadsheetColorIndex="47">
            <a:gamma/>
            <a:tint val="0"/>
            <a:invGamma/>
          </a:srgbClr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Tagesrofile</a:t>
            </a:r>
          </a:p>
        </c:rich>
      </c:tx>
      <c:layout>
        <c:manualLayout>
          <c:xMode val="edge"/>
          <c:yMode val="edge"/>
          <c:x val="0.213186922797094"/>
          <c:y val="0.92939997083697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058626799817"/>
          <c:y val="0.0561805099883348"/>
          <c:w val="0.754945763840942"/>
          <c:h val="0.819293616943715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'(intern)'!$O$3</c:f>
              <c:strCache>
                <c:ptCount val="1"/>
                <c:pt idx="0">
                  <c:v>KW 14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'(intern)'!$O$4:$O$12</c:f>
              <c:numCache>
                <c:formatCode>0.0</c:formatCode>
                <c:ptCount val="9"/>
                <c:pt idx="0">
                  <c:v>6.2</c:v>
                </c:pt>
                <c:pt idx="1">
                  <c:v>10.13333333333333</c:v>
                </c:pt>
                <c:pt idx="2">
                  <c:v>7.633333333333332</c:v>
                </c:pt>
                <c:pt idx="3">
                  <c:v>5.344444444444444</c:v>
                </c:pt>
                <c:pt idx="4">
                  <c:v>6.8</c:v>
                </c:pt>
                <c:pt idx="5">
                  <c:v>5.2</c:v>
                </c:pt>
                <c:pt idx="6">
                  <c:v>5.3</c:v>
                </c:pt>
                <c:pt idx="7">
                  <c:v>5.8</c:v>
                </c:pt>
                <c:pt idx="8">
                  <c:v>6.2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'(intern)'!$P$3</c:f>
              <c:strCache>
                <c:ptCount val="1"/>
                <c:pt idx="0">
                  <c:v>KW 15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'(intern)'!$P$4:$P$12</c:f>
              <c:numCache>
                <c:formatCode>0.0</c:formatCode>
                <c:ptCount val="9"/>
                <c:pt idx="0">
                  <c:v>5.9</c:v>
                </c:pt>
                <c:pt idx="1">
                  <c:v>9.4</c:v>
                </c:pt>
                <c:pt idx="2">
                  <c:v>7.4</c:v>
                </c:pt>
                <c:pt idx="3">
                  <c:v>6.0</c:v>
                </c:pt>
                <c:pt idx="4">
                  <c:v>8.2</c:v>
                </c:pt>
                <c:pt idx="5">
                  <c:v>8.7</c:v>
                </c:pt>
                <c:pt idx="6">
                  <c:v>7.9</c:v>
                </c:pt>
                <c:pt idx="7">
                  <c:v>6.1</c:v>
                </c:pt>
                <c:pt idx="8">
                  <c:v>6.3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'(intern)'!$Q$3</c:f>
              <c:strCache>
                <c:ptCount val="1"/>
                <c:pt idx="0">
                  <c:v>KW 16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'(intern)'!$Q$4:$Q$12</c:f>
              <c:numCache>
                <c:formatCode>0.0</c:formatCode>
                <c:ptCount val="9"/>
                <c:pt idx="0">
                  <c:v>6.100000000000001</c:v>
                </c:pt>
                <c:pt idx="1">
                  <c:v>9.71111111111111</c:v>
                </c:pt>
                <c:pt idx="2">
                  <c:v>7.01111111111111</c:v>
                </c:pt>
                <c:pt idx="3">
                  <c:v>5.281481481481481</c:v>
                </c:pt>
                <c:pt idx="4">
                  <c:v>6.633333333333332</c:v>
                </c:pt>
                <c:pt idx="5">
                  <c:v>6.366666666666667</c:v>
                </c:pt>
                <c:pt idx="6">
                  <c:v>6.911111111111111</c:v>
                </c:pt>
                <c:pt idx="7">
                  <c:v>6.144444444444445</c:v>
                </c:pt>
                <c:pt idx="8">
                  <c:v>6.204526748971193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'(intern)'!$R$3</c:f>
              <c:strCache>
                <c:ptCount val="1"/>
                <c:pt idx="0">
                  <c:v>KW 17</c:v>
                </c:pt>
              </c:strCache>
            </c:strRef>
          </c:tx>
          <c:spPr>
            <a:ln w="19050">
              <a:solidFill>
                <a:srgbClr val="FFCC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'(intern)'!$R$4:$R$12</c:f>
              <c:numCache>
                <c:formatCode>0.0</c:formatCode>
                <c:ptCount val="9"/>
                <c:pt idx="0">
                  <c:v>6.066666666666667</c:v>
                </c:pt>
                <c:pt idx="1">
                  <c:v>9.748148148148147</c:v>
                </c:pt>
                <c:pt idx="2">
                  <c:v>7.348148148148148</c:v>
                </c:pt>
                <c:pt idx="3">
                  <c:v>5.541975308641976</c:v>
                </c:pt>
                <c:pt idx="4">
                  <c:v>7.211111111111111</c:v>
                </c:pt>
                <c:pt idx="5">
                  <c:v>6.755555555555555</c:v>
                </c:pt>
                <c:pt idx="6">
                  <c:v>6.703703703703703</c:v>
                </c:pt>
                <c:pt idx="7">
                  <c:v>6.014814814814815</c:v>
                </c:pt>
                <c:pt idx="8">
                  <c:v>6.234842249657064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'(intern)'!$S$3</c:f>
              <c:strCache>
                <c:ptCount val="1"/>
                <c:pt idx="0">
                  <c:v>KW 18</c:v>
                </c:pt>
              </c:strCache>
            </c:strRef>
          </c:tx>
          <c:spPr>
            <a:ln w="12700">
              <a:solidFill>
                <a:srgbClr val="99CC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'(intern)'!$S$4:$S$12</c:f>
              <c:numCache>
                <c:formatCode>0.0</c:formatCode>
                <c:ptCount val="9"/>
                <c:pt idx="0">
                  <c:v>6.022222222222222</c:v>
                </c:pt>
                <c:pt idx="1">
                  <c:v>9.619753086419752</c:v>
                </c:pt>
                <c:pt idx="2">
                  <c:v>7.253086419753086</c:v>
                </c:pt>
                <c:pt idx="3">
                  <c:v>5.607818930041152</c:v>
                </c:pt>
                <c:pt idx="4">
                  <c:v>7.348148148148148</c:v>
                </c:pt>
                <c:pt idx="5">
                  <c:v>7.274074074074074</c:v>
                </c:pt>
                <c:pt idx="6">
                  <c:v>7.171604938271605</c:v>
                </c:pt>
                <c:pt idx="7">
                  <c:v>6.08641975308642</c:v>
                </c:pt>
                <c:pt idx="8">
                  <c:v>6.246456332876086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'(intern)'!$T$3</c:f>
              <c:strCache>
                <c:ptCount val="1"/>
                <c:pt idx="0">
                  <c:v>KW 19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'(intern)'!$T$4:$T$12</c:f>
              <c:numCache>
                <c:formatCode>0.0</c:formatCode>
                <c:ptCount val="9"/>
                <c:pt idx="0">
                  <c:v>6.062962962962963</c:v>
                </c:pt>
                <c:pt idx="1">
                  <c:v>9.693004115226335</c:v>
                </c:pt>
                <c:pt idx="2">
                  <c:v>7.204115226337447</c:v>
                </c:pt>
                <c:pt idx="3">
                  <c:v>5.477091906721536</c:v>
                </c:pt>
                <c:pt idx="4">
                  <c:v>7.064197530864198</c:v>
                </c:pt>
                <c:pt idx="5">
                  <c:v>6.798765432098765</c:v>
                </c:pt>
                <c:pt idx="6">
                  <c:v>6.92880658436214</c:v>
                </c:pt>
                <c:pt idx="7">
                  <c:v>6.081893004115226</c:v>
                </c:pt>
                <c:pt idx="8">
                  <c:v>6.22860844383478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'(intern)'!$U$3</c:f>
              <c:strCache>
                <c:ptCount val="1"/>
                <c:pt idx="0">
                  <c:v>KW 20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'(intern)'!$U$4:$U$12</c:f>
              <c:numCache>
                <c:formatCode>0.0</c:formatCode>
                <c:ptCount val="9"/>
                <c:pt idx="0">
                  <c:v>6.050617283950617</c:v>
                </c:pt>
                <c:pt idx="1">
                  <c:v>9.686968449931411</c:v>
                </c:pt>
                <c:pt idx="2">
                  <c:v>7.268449931412893</c:v>
                </c:pt>
                <c:pt idx="3">
                  <c:v>5.542295381801555</c:v>
                </c:pt>
                <c:pt idx="4">
                  <c:v>7.207818930041153</c:v>
                </c:pt>
                <c:pt idx="5">
                  <c:v>6.942798353909465</c:v>
                </c:pt>
                <c:pt idx="6">
                  <c:v>6.934705075445816</c:v>
                </c:pt>
                <c:pt idx="7">
                  <c:v>6.061042524005487</c:v>
                </c:pt>
                <c:pt idx="8">
                  <c:v>6.236635675455976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'(intern)'!$V$3</c:f>
              <c:strCache>
                <c:ptCount val="1"/>
                <c:pt idx="0">
                  <c:v>KW 21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33CCCC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'(intern)'!$V$4:$V$12</c:f>
              <c:numCache>
                <c:formatCode>0.0</c:formatCode>
                <c:ptCount val="9"/>
                <c:pt idx="0">
                  <c:v>6.045267489711934</c:v>
                </c:pt>
                <c:pt idx="1">
                  <c:v>9.6665752171925</c:v>
                </c:pt>
                <c:pt idx="2">
                  <c:v>7.241883859167809</c:v>
                </c:pt>
                <c:pt idx="3">
                  <c:v>5.542402072854748</c:v>
                </c:pt>
                <c:pt idx="4">
                  <c:v>7.206721536351166</c:v>
                </c:pt>
                <c:pt idx="5">
                  <c:v>7.005212620027436</c:v>
                </c:pt>
                <c:pt idx="6">
                  <c:v>7.011705532693187</c:v>
                </c:pt>
                <c:pt idx="7">
                  <c:v>6.076451760402377</c:v>
                </c:pt>
                <c:pt idx="8">
                  <c:v>6.237233484055614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'(intern)'!$W$3</c:f>
              <c:strCache>
                <c:ptCount val="1"/>
                <c:pt idx="0">
                  <c:v>KW 22</c:v>
                </c:pt>
              </c:strCache>
            </c:strRef>
          </c:tx>
          <c:spPr>
            <a:ln w="12700">
              <a:solidFill>
                <a:srgbClr val="3366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'(intern)'!$W$4:$W$12</c:f>
              <c:numCache>
                <c:formatCode>0.0</c:formatCode>
                <c:ptCount val="9"/>
                <c:pt idx="0">
                  <c:v>6.05294924554184</c:v>
                </c:pt>
                <c:pt idx="1">
                  <c:v>9.682182594116747</c:v>
                </c:pt>
                <c:pt idx="2">
                  <c:v>7.23814967230605</c:v>
                </c:pt>
                <c:pt idx="3">
                  <c:v>5.520596453792614</c:v>
                </c:pt>
                <c:pt idx="4">
                  <c:v>7.15957933241884</c:v>
                </c:pt>
                <c:pt idx="5">
                  <c:v>6.915592135345222</c:v>
                </c:pt>
                <c:pt idx="6">
                  <c:v>6.958405730833714</c:v>
                </c:pt>
                <c:pt idx="7">
                  <c:v>6.073129096174363</c:v>
                </c:pt>
                <c:pt idx="8">
                  <c:v>6.234159201115457</c:v>
                </c:pt>
              </c:numCache>
            </c:numRef>
          </c:val>
          <c:smooth val="1"/>
        </c:ser>
        <c:ser>
          <c:idx val="9"/>
          <c:order val="9"/>
          <c:tx>
            <c:strRef>
              <c:f>'(intern)'!$X$3</c:f>
              <c:strCache>
                <c:ptCount val="1"/>
                <c:pt idx="0">
                  <c:v>KW 23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'(intern)'!$X$4:$X$12</c:f>
              <c:numCache>
                <c:formatCode>0.0</c:formatCode>
                <c:ptCount val="9"/>
                <c:pt idx="0">
                  <c:v>6.049611339734798</c:v>
                </c:pt>
                <c:pt idx="1">
                  <c:v>9.678575420413553</c:v>
                </c:pt>
                <c:pt idx="2">
                  <c:v>7.249494487628918</c:v>
                </c:pt>
                <c:pt idx="3">
                  <c:v>5.535097969482972</c:v>
                </c:pt>
                <c:pt idx="4">
                  <c:v>7.191373266270387</c:v>
                </c:pt>
                <c:pt idx="5">
                  <c:v>6.954534369760708</c:v>
                </c:pt>
                <c:pt idx="6">
                  <c:v>6.968272112990906</c:v>
                </c:pt>
                <c:pt idx="7">
                  <c:v>6.07020779352741</c:v>
                </c:pt>
                <c:pt idx="8">
                  <c:v>6.236009453542348</c:v>
                </c:pt>
              </c:numCache>
            </c:numRef>
          </c:val>
          <c:smooth val="1"/>
        </c:ser>
        <c:ser>
          <c:idx val="10"/>
          <c:order val="10"/>
          <c:tx>
            <c:strRef>
              <c:f>'(intern)'!$Y$3</c:f>
              <c:strCache>
                <c:ptCount val="1"/>
                <c:pt idx="0">
                  <c:v>KW 24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'(intern)'!$Y$4:$Y$12</c:f>
              <c:numCache>
                <c:formatCode>0.0</c:formatCode>
                <c:ptCount val="9"/>
                <c:pt idx="0">
                  <c:v>6.049276024996191</c:v>
                </c:pt>
                <c:pt idx="1">
                  <c:v>9.6757777439076</c:v>
                </c:pt>
                <c:pt idx="2">
                  <c:v>7.243176006367592</c:v>
                </c:pt>
                <c:pt idx="3">
                  <c:v>5.532698832043444</c:v>
                </c:pt>
                <c:pt idx="4">
                  <c:v>7.185891378346798</c:v>
                </c:pt>
                <c:pt idx="5">
                  <c:v>6.958446375044455</c:v>
                </c:pt>
                <c:pt idx="6">
                  <c:v>6.979461125505935</c:v>
                </c:pt>
                <c:pt idx="7">
                  <c:v>6.07326288336805</c:v>
                </c:pt>
                <c:pt idx="8">
                  <c:v>6.235800712904473</c:v>
                </c:pt>
              </c:numCache>
            </c:numRef>
          </c:val>
          <c:smooth val="1"/>
        </c:ser>
        <c:ser>
          <c:idx val="11"/>
          <c:order val="11"/>
          <c:tx>
            <c:strRef>
              <c:f>'(intern)'!$Z$3</c:f>
              <c:strCache>
                <c:ptCount val="1"/>
                <c:pt idx="0">
                  <c:v>KW 25</c:v>
                </c:pt>
              </c:strCache>
            </c:strRef>
          </c:tx>
          <c:spPr>
            <a:ln w="12700">
              <a:solidFill>
                <a:srgbClr val="993366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993366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val>
            <c:numRef>
              <c:f>'(intern)'!$Z$4:$Z$12</c:f>
              <c:numCache>
                <c:formatCode>0.0</c:formatCode>
                <c:ptCount val="9"/>
                <c:pt idx="0">
                  <c:v>6.050612203424276</c:v>
                </c:pt>
                <c:pt idx="1">
                  <c:v>9.678845252812633</c:v>
                </c:pt>
                <c:pt idx="2">
                  <c:v>7.243606722100853</c:v>
                </c:pt>
                <c:pt idx="3">
                  <c:v>5.529464418439676</c:v>
                </c:pt>
                <c:pt idx="4">
                  <c:v>7.178947992345342</c:v>
                </c:pt>
                <c:pt idx="5">
                  <c:v>6.942857626716795</c:v>
                </c:pt>
                <c:pt idx="6">
                  <c:v>6.968712989776852</c:v>
                </c:pt>
                <c:pt idx="7">
                  <c:v>6.072199924356606</c:v>
                </c:pt>
                <c:pt idx="8">
                  <c:v>6.23532312252076</c:v>
                </c:pt>
              </c:numCache>
            </c:numRef>
          </c:val>
          <c:smooth val="1"/>
        </c:ser>
        <c:ser>
          <c:idx val="12"/>
          <c:order val="12"/>
          <c:tx>
            <c:strRef>
              <c:f>'(intern)'!$AA$3</c:f>
              <c:strCache>
                <c:ptCount val="1"/>
                <c:pt idx="0">
                  <c:v>KW 26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'(intern)'!$AA$4:$AA$12</c:f>
              <c:numCache>
                <c:formatCode>0.0</c:formatCode>
                <c:ptCount val="9"/>
                <c:pt idx="0">
                  <c:v>6.04983318938509</c:v>
                </c:pt>
                <c:pt idx="1">
                  <c:v>9.677732805711263</c:v>
                </c:pt>
                <c:pt idx="2">
                  <c:v>7.245425738699121</c:v>
                </c:pt>
                <c:pt idx="3">
                  <c:v>5.532420406655364</c:v>
                </c:pt>
                <c:pt idx="4">
                  <c:v>7.185404212320843</c:v>
                </c:pt>
                <c:pt idx="5">
                  <c:v>6.951946123840652</c:v>
                </c:pt>
                <c:pt idx="6">
                  <c:v>6.972148742757897</c:v>
                </c:pt>
                <c:pt idx="7">
                  <c:v>6.071890200417354</c:v>
                </c:pt>
                <c:pt idx="8">
                  <c:v>6.235711096322527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8001960"/>
        <c:axId val="2118007128"/>
      </c:lineChart>
      <c:catAx>
        <c:axId val="2118001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007128"/>
        <c:crossesAt val="2.0"/>
        <c:auto val="1"/>
        <c:lblAlgn val="ctr"/>
        <c:lblOffset val="100"/>
        <c:tickLblSkip val="1"/>
        <c:tickMarkSkip val="1"/>
        <c:noMultiLvlLbl val="0"/>
      </c:catAx>
      <c:valAx>
        <c:axId val="2118007128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001960"/>
        <c:crosses val="autoZero"/>
        <c:crossBetween val="between"/>
        <c:majorUnit val="1.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"/>
          <c:y val="0.0425805172790901"/>
          <c:w val="0.134066078278677"/>
          <c:h val="0.9415222585480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7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CC99" mc:Ignorable="a14" a14:legacySpreadsheetColorIndex="47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vert="horz"/>
          <a:lstStyle/>
          <a:p>
            <a:pPr algn="ctr">
              <a:defRPr sz="1575" b="1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Statistik</a:t>
            </a:r>
          </a:p>
          <a:p>
            <a:pPr algn="ctr">
              <a:defRPr sz="1575" b="1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[mmol|L]</a:t>
            </a:r>
          </a:p>
        </c:rich>
      </c:tx>
      <c:layout>
        <c:manualLayout>
          <c:xMode val="edge"/>
          <c:yMode val="edge"/>
          <c:x val="0.00936768149882904"/>
          <c:y val="0.040935672514619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386416861827"/>
          <c:y val="0.0428850718907466"/>
          <c:w val="0.878220140515223"/>
          <c:h val="0.76998197258386"/>
        </c:manualLayout>
      </c:layout>
      <c:stockChart>
        <c:ser>
          <c:idx val="0"/>
          <c:order val="0"/>
          <c:tx>
            <c:strRef>
              <c:f>'(intern)'!$P$23</c:f>
              <c:strCache>
                <c:ptCount val="1"/>
                <c:pt idx="0">
                  <c:v>+1,645σ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'(intern)'!$O$24:$O$32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'(intern)'!$P$24:$P$32</c:f>
              <c:numCache>
                <c:formatCode>0.0</c:formatCode>
                <c:ptCount val="9"/>
                <c:pt idx="0">
                  <c:v>6.158488987552847</c:v>
                </c:pt>
                <c:pt idx="1">
                  <c:v>9.95208873308321</c:v>
                </c:pt>
                <c:pt idx="2">
                  <c:v>7.503390118817636</c:v>
                </c:pt>
                <c:pt idx="3">
                  <c:v>5.80856802725935</c:v>
                </c:pt>
                <c:pt idx="4">
                  <c:v>7.78416179292484</c:v>
                </c:pt>
                <c:pt idx="5">
                  <c:v>8.12592782909699</c:v>
                </c:pt>
                <c:pt idx="6">
                  <c:v>7.815483242940293</c:v>
                </c:pt>
                <c:pt idx="7">
                  <c:v>6.190424503475095</c:v>
                </c:pt>
                <c:pt idx="8">
                  <c:v>6.274234495976964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'(intern)'!$Q$23</c:f>
              <c:strCache>
                <c:ptCount val="1"/>
                <c:pt idx="0">
                  <c:v>- 1,645σ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'(intern)'!$O$24:$O$32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'(intern)'!$Q$24:$Q$32</c:f>
              <c:numCache>
                <c:formatCode>0.0</c:formatCode>
                <c:ptCount val="9"/>
                <c:pt idx="0">
                  <c:v>5.9492061860774</c:v>
                </c:pt>
                <c:pt idx="1">
                  <c:v>9.440527771274388</c:v>
                </c:pt>
                <c:pt idx="2">
                  <c:v>7.04737613600796</c:v>
                </c:pt>
                <c:pt idx="3">
                  <c:v>5.26647621987926</c:v>
                </c:pt>
                <c:pt idx="4">
                  <c:v>6.611611556544593</c:v>
                </c:pt>
                <c:pt idx="5">
                  <c:v>5.684295145216827</c:v>
                </c:pt>
                <c:pt idx="6">
                  <c:v>5.985845625898607</c:v>
                </c:pt>
                <c:pt idx="7">
                  <c:v>5.921230296326838</c:v>
                </c:pt>
                <c:pt idx="8">
                  <c:v>6.197351122677849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'(intern)'!$R$23</c:f>
              <c:strCache>
                <c:ptCount val="1"/>
                <c:pt idx="0">
                  <c:v>MW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'(intern)'!$O$24:$O$32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'(intern)'!$R$24:$R$32</c:f>
              <c:numCache>
                <c:formatCode>0.0</c:formatCode>
                <c:ptCount val="9"/>
                <c:pt idx="0">
                  <c:v>6.053847586815123</c:v>
                </c:pt>
                <c:pt idx="1">
                  <c:v>9.696308252178798</c:v>
                </c:pt>
                <c:pt idx="2">
                  <c:v>7.275383127412798</c:v>
                </c:pt>
                <c:pt idx="3">
                  <c:v>5.537522123569305</c:v>
                </c:pt>
                <c:pt idx="4">
                  <c:v>7.197886674734717</c:v>
                </c:pt>
                <c:pt idx="5">
                  <c:v>6.905111487156909</c:v>
                </c:pt>
                <c:pt idx="6">
                  <c:v>6.90066443441945</c:v>
                </c:pt>
                <c:pt idx="7">
                  <c:v>6.055827399900966</c:v>
                </c:pt>
                <c:pt idx="8">
                  <c:v>6.235792809327407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axId val="2118040328"/>
        <c:axId val="2118043544"/>
      </c:stockChart>
      <c:catAx>
        <c:axId val="21180403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043544"/>
        <c:crossesAt val="2.0"/>
        <c:auto val="1"/>
        <c:lblAlgn val="ctr"/>
        <c:lblOffset val="100"/>
        <c:tickMarkSkip val="1"/>
        <c:noMultiLvlLbl val="0"/>
      </c:catAx>
      <c:valAx>
        <c:axId val="2118043544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93300"/>
              </a:solidFill>
              <a:prstDash val="solid"/>
            </a:ln>
          </c:spPr>
        </c:majorGridlines>
        <c:numFmt formatCode="0.0" sourceLinked="0"/>
        <c:majorTickMark val="cross"/>
        <c:minorTickMark val="none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040328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9933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99330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7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CC99" mc:Ignorable="a14" a14:legacySpreadsheetColorIndex="47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Verlauf</a:t>
            </a:r>
          </a:p>
        </c:rich>
      </c:tx>
      <c:layout>
        <c:manualLayout>
          <c:xMode val="edge"/>
          <c:yMode val="edge"/>
          <c:x val="0.00373134328358209"/>
          <c:y val="0.011023622047244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736306165587"/>
          <c:y val="0.0299213288662545"/>
          <c:w val="0.880735135722616"/>
          <c:h val="0.508662590726326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'(intern)'!$A$4</c:f>
              <c:strCache>
                <c:ptCount val="1"/>
                <c:pt idx="0">
                  <c:v>07:00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'(intern)'!$AB$4:$AN$4</c:f>
              <c:numCache>
                <c:formatCode>0.0</c:formatCode>
                <c:ptCount val="13"/>
                <c:pt idx="0">
                  <c:v>6.04990713926852</c:v>
                </c:pt>
                <c:pt idx="1">
                  <c:v>6.050117510692629</c:v>
                </c:pt>
                <c:pt idx="2">
                  <c:v>6.049952613115413</c:v>
                </c:pt>
                <c:pt idx="3">
                  <c:v>6.04999242102552</c:v>
                </c:pt>
                <c:pt idx="4">
                  <c:v>6.050020848277854</c:v>
                </c:pt>
                <c:pt idx="5">
                  <c:v>6.049988627472929</c:v>
                </c:pt>
                <c:pt idx="6">
                  <c:v>6.050000632258768</c:v>
                </c:pt>
                <c:pt idx="7">
                  <c:v>6.050003369336516</c:v>
                </c:pt>
                <c:pt idx="8">
                  <c:v>6.049997543022737</c:v>
                </c:pt>
                <c:pt idx="9">
                  <c:v>6.050000514872674</c:v>
                </c:pt>
                <c:pt idx="10">
                  <c:v>6.050000475743975</c:v>
                </c:pt>
                <c:pt idx="11">
                  <c:v>6.04999951121313</c:v>
                </c:pt>
                <c:pt idx="12">
                  <c:v>6.050000167276593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'(intern)'!$A$5</c:f>
              <c:strCache>
                <c:ptCount val="1"/>
                <c:pt idx="0">
                  <c:v>09:30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9"/>
            <c:spPr>
              <a:solidFill>
                <a:srgbClr val="FF99CC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'(intern)'!$AB$5:$AN$5</c:f>
              <c:numCache>
                <c:formatCode>0.0</c:formatCode>
                <c:ptCount val="13"/>
                <c:pt idx="0">
                  <c:v>9.677451934143831</c:v>
                </c:pt>
                <c:pt idx="1">
                  <c:v>9.67800999755591</c:v>
                </c:pt>
                <c:pt idx="2">
                  <c:v>9.677731579137002</c:v>
                </c:pt>
                <c:pt idx="3">
                  <c:v>9.677731170278915</c:v>
                </c:pt>
                <c:pt idx="4">
                  <c:v>9.67782424899061</c:v>
                </c:pt>
                <c:pt idx="5">
                  <c:v>9.677762332802176</c:v>
                </c:pt>
                <c:pt idx="6">
                  <c:v>9.6777725840239</c:v>
                </c:pt>
                <c:pt idx="7">
                  <c:v>9.67778638860556</c:v>
                </c:pt>
                <c:pt idx="8">
                  <c:v>9.677773768477213</c:v>
                </c:pt>
                <c:pt idx="9">
                  <c:v>9.677777580368891</c:v>
                </c:pt>
                <c:pt idx="10">
                  <c:v>9.677779245817221</c:v>
                </c:pt>
                <c:pt idx="11">
                  <c:v>9.677776864887775</c:v>
                </c:pt>
                <c:pt idx="12">
                  <c:v>9.67777789702463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'(intern)'!$A$6</c:f>
              <c:strCache>
                <c:ptCount val="1"/>
                <c:pt idx="0">
                  <c:v>12:00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8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'(intern)'!$AB$6:$AN$6</c:f>
              <c:numCache>
                <c:formatCode>0.0</c:formatCode>
                <c:ptCount val="13"/>
                <c:pt idx="0">
                  <c:v>7.244069489055855</c:v>
                </c:pt>
                <c:pt idx="1">
                  <c:v>7.244367316618611</c:v>
                </c:pt>
                <c:pt idx="2">
                  <c:v>7.24462084812453</c:v>
                </c:pt>
                <c:pt idx="3">
                  <c:v>7.244352551266332</c:v>
                </c:pt>
                <c:pt idx="4">
                  <c:v>7.244446905336491</c:v>
                </c:pt>
                <c:pt idx="5">
                  <c:v>7.244473434909117</c:v>
                </c:pt>
                <c:pt idx="6">
                  <c:v>7.244424297170647</c:v>
                </c:pt>
                <c:pt idx="7">
                  <c:v>7.244448212472085</c:v>
                </c:pt>
                <c:pt idx="8">
                  <c:v>7.24444864818395</c:v>
                </c:pt>
                <c:pt idx="9">
                  <c:v>7.244440385942227</c:v>
                </c:pt>
                <c:pt idx="10">
                  <c:v>7.244445748866088</c:v>
                </c:pt>
                <c:pt idx="11">
                  <c:v>7.244444927664088</c:v>
                </c:pt>
                <c:pt idx="12">
                  <c:v>7.2444436874908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'(intern)'!$A$7</c:f>
              <c:strCache>
                <c:ptCount val="1"/>
                <c:pt idx="0">
                  <c:v>14:30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'(intern)'!$AB$7:$AN$7</c:f>
              <c:numCache>
                <c:formatCode>0.0</c:formatCode>
                <c:ptCount val="13"/>
                <c:pt idx="0">
                  <c:v>5.531527885712828</c:v>
                </c:pt>
                <c:pt idx="1">
                  <c:v>5.531137570269291</c:v>
                </c:pt>
                <c:pt idx="2">
                  <c:v>5.531695287545827</c:v>
                </c:pt>
                <c:pt idx="3">
                  <c:v>5.531453581175982</c:v>
                </c:pt>
                <c:pt idx="4">
                  <c:v>5.531428812997032</c:v>
                </c:pt>
                <c:pt idx="5">
                  <c:v>5.531525893906281</c:v>
                </c:pt>
                <c:pt idx="6">
                  <c:v>5.531469429359764</c:v>
                </c:pt>
                <c:pt idx="7">
                  <c:v>5.531474712087692</c:v>
                </c:pt>
                <c:pt idx="8">
                  <c:v>5.53149001178458</c:v>
                </c:pt>
                <c:pt idx="9">
                  <c:v>5.531478051077345</c:v>
                </c:pt>
                <c:pt idx="10">
                  <c:v>5.531480924983205</c:v>
                </c:pt>
                <c:pt idx="11">
                  <c:v>5.531482995948376</c:v>
                </c:pt>
                <c:pt idx="12">
                  <c:v>5.53148065733631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'(intern)'!$A$8</c:f>
              <c:strCache>
                <c:ptCount val="1"/>
                <c:pt idx="0">
                  <c:v>17:30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'(intern)'!$AB$8:$AN$8</c:f>
              <c:numCache>
                <c:formatCode>0.0</c:formatCode>
                <c:ptCount val="13"/>
                <c:pt idx="0">
                  <c:v>7.183414527670994</c:v>
                </c:pt>
                <c:pt idx="1">
                  <c:v>7.18258891077906</c:v>
                </c:pt>
                <c:pt idx="2">
                  <c:v>7.183802550256966</c:v>
                </c:pt>
                <c:pt idx="3">
                  <c:v>7.18326866290234</c:v>
                </c:pt>
                <c:pt idx="4">
                  <c:v>7.18322004131279</c:v>
                </c:pt>
                <c:pt idx="5">
                  <c:v>7.183430418157365</c:v>
                </c:pt>
                <c:pt idx="6">
                  <c:v>7.183306374124164</c:v>
                </c:pt>
                <c:pt idx="7">
                  <c:v>7.18331894453144</c:v>
                </c:pt>
                <c:pt idx="8">
                  <c:v>7.183351912270989</c:v>
                </c:pt>
                <c:pt idx="9">
                  <c:v>7.183325743642197</c:v>
                </c:pt>
                <c:pt idx="10">
                  <c:v>7.183332200148208</c:v>
                </c:pt>
                <c:pt idx="11">
                  <c:v>7.183336618687131</c:v>
                </c:pt>
                <c:pt idx="12">
                  <c:v>7.183331520825845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'(intern)'!$A$9</c:f>
              <c:strCache>
                <c:ptCount val="1"/>
                <c:pt idx="0">
                  <c:v>20:00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'(intern)'!$AB$9:$AN$9</c:f>
              <c:numCache>
                <c:formatCode>0.0</c:formatCode>
                <c:ptCount val="13"/>
                <c:pt idx="0">
                  <c:v>6.951083375200634</c:v>
                </c:pt>
                <c:pt idx="1">
                  <c:v>6.94862904191936</c:v>
                </c:pt>
                <c:pt idx="2">
                  <c:v>6.950552846986883</c:v>
                </c:pt>
                <c:pt idx="3">
                  <c:v>6.95008842136896</c:v>
                </c:pt>
                <c:pt idx="4">
                  <c:v>6.949756770091735</c:v>
                </c:pt>
                <c:pt idx="5">
                  <c:v>6.950132679482526</c:v>
                </c:pt>
                <c:pt idx="6">
                  <c:v>6.94999262364774</c:v>
                </c:pt>
                <c:pt idx="7">
                  <c:v>6.949960691074</c:v>
                </c:pt>
                <c:pt idx="8">
                  <c:v>6.950028664734755</c:v>
                </c:pt>
                <c:pt idx="9">
                  <c:v>6.949993993152165</c:v>
                </c:pt>
                <c:pt idx="10">
                  <c:v>6.94999444965364</c:v>
                </c:pt>
                <c:pt idx="11">
                  <c:v>6.95000570251352</c:v>
                </c:pt>
                <c:pt idx="12">
                  <c:v>6.949998048439776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'(intern)'!$A$10</c:f>
              <c:strCache>
                <c:ptCount val="1"/>
                <c:pt idx="0">
                  <c:v>23:00</c:v>
                </c:pt>
              </c:strCache>
            </c:strRef>
          </c:tx>
          <c:spPr>
            <a:ln w="19050">
              <a:solidFill>
                <a:srgbClr val="660066"/>
              </a:solidFill>
              <a:prstDash val="sysDot"/>
            </a:ln>
          </c:spPr>
          <c:marker>
            <c:symbol val="circle"/>
            <c:size val="6"/>
            <c:spPr>
              <a:solidFill>
                <a:srgbClr val="660066"/>
              </a:solidFill>
              <a:ln>
                <a:solidFill>
                  <a:srgbClr val="660066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'(intern)'!$AB$10:$AN$10</c:f>
              <c:numCache>
                <c:formatCode>0.0</c:formatCode>
                <c:ptCount val="13"/>
                <c:pt idx="0">
                  <c:v>6.973440952680228</c:v>
                </c:pt>
                <c:pt idx="1">
                  <c:v>6.971434228404992</c:v>
                </c:pt>
                <c:pt idx="2">
                  <c:v>6.972341307947705</c:v>
                </c:pt>
                <c:pt idx="3">
                  <c:v>6.972405496344308</c:v>
                </c:pt>
                <c:pt idx="4">
                  <c:v>6.972060344232334</c:v>
                </c:pt>
                <c:pt idx="5">
                  <c:v>6.972269049508116</c:v>
                </c:pt>
                <c:pt idx="6">
                  <c:v>6.972244963361586</c:v>
                </c:pt>
                <c:pt idx="7">
                  <c:v>6.972191452367346</c:v>
                </c:pt>
                <c:pt idx="8">
                  <c:v>6.972235155079016</c:v>
                </c:pt>
                <c:pt idx="9">
                  <c:v>6.972223856935983</c:v>
                </c:pt>
                <c:pt idx="10">
                  <c:v>6.972216821460782</c:v>
                </c:pt>
                <c:pt idx="11">
                  <c:v>6.97222527782526</c:v>
                </c:pt>
                <c:pt idx="12">
                  <c:v>6.97222198540734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'(intern)'!$A$11</c:f>
              <c:strCache>
                <c:ptCount val="1"/>
                <c:pt idx="0">
                  <c:v>Nacht</c:v>
                </c:pt>
              </c:strCache>
            </c:strRef>
          </c:tx>
          <c:spPr>
            <a:ln w="19050">
              <a:solidFill>
                <a:srgbClr val="000090"/>
              </a:solidFill>
              <a:prstDash val="sysDot"/>
            </a:ln>
          </c:spPr>
          <c:marker>
            <c:symbol val="circle"/>
            <c:size val="6"/>
            <c:spPr>
              <a:noFill/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'(intern)'!$AB$11:$AN$11</c:f>
              <c:numCache>
                <c:formatCode>0.0</c:formatCode>
                <c:ptCount val="13"/>
                <c:pt idx="0">
                  <c:v>6.072451002714003</c:v>
                </c:pt>
                <c:pt idx="1">
                  <c:v>6.072180375829322</c:v>
                </c:pt>
                <c:pt idx="2">
                  <c:v>6.07217385965356</c:v>
                </c:pt>
                <c:pt idx="3">
                  <c:v>6.072268412732294</c:v>
                </c:pt>
                <c:pt idx="4">
                  <c:v>6.07220754940506</c:v>
                </c:pt>
                <c:pt idx="5">
                  <c:v>6.072216607263638</c:v>
                </c:pt>
                <c:pt idx="6">
                  <c:v>6.072230856466998</c:v>
                </c:pt>
                <c:pt idx="7">
                  <c:v>6.072218337711899</c:v>
                </c:pt>
                <c:pt idx="8">
                  <c:v>6.072221933814177</c:v>
                </c:pt>
                <c:pt idx="9">
                  <c:v>6.072223709331024</c:v>
                </c:pt>
                <c:pt idx="10">
                  <c:v>6.072221326952366</c:v>
                </c:pt>
                <c:pt idx="11">
                  <c:v>6.072222323365856</c:v>
                </c:pt>
                <c:pt idx="12">
                  <c:v>6.072222453216415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'(intern)'!$A$12</c:f>
              <c:strCache>
                <c:ptCount val="1"/>
                <c:pt idx="0">
                  <c:v>Früh</c:v>
                </c:pt>
              </c:strCache>
            </c:strRef>
          </c:tx>
          <c:spPr>
            <a:ln w="19050">
              <a:solidFill>
                <a:srgbClr val="00FFFF"/>
              </a:solidFill>
              <a:prstDash val="sysDot"/>
            </a:ln>
          </c:spPr>
          <c:marker>
            <c:symbol val="triangle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'(intern)'!$AB$12:$AN$12</c:f>
              <c:numCache>
                <c:formatCode>0.0</c:formatCode>
                <c:ptCount val="13"/>
                <c:pt idx="0">
                  <c:v>6.23561164391592</c:v>
                </c:pt>
                <c:pt idx="1">
                  <c:v>6.235548620919736</c:v>
                </c:pt>
                <c:pt idx="2">
                  <c:v>6.235623787052728</c:v>
                </c:pt>
                <c:pt idx="3">
                  <c:v>6.235594683962794</c:v>
                </c:pt>
                <c:pt idx="4">
                  <c:v>6.235589030645086</c:v>
                </c:pt>
                <c:pt idx="5">
                  <c:v>6.235602500553536</c:v>
                </c:pt>
                <c:pt idx="6">
                  <c:v>6.235595405053806</c:v>
                </c:pt>
                <c:pt idx="7">
                  <c:v>6.235595645417477</c:v>
                </c:pt>
                <c:pt idx="8">
                  <c:v>6.235597850341606</c:v>
                </c:pt>
                <c:pt idx="9">
                  <c:v>6.235596300270963</c:v>
                </c:pt>
                <c:pt idx="10">
                  <c:v>6.235596598676682</c:v>
                </c:pt>
                <c:pt idx="11">
                  <c:v>6.23559691642975</c:v>
                </c:pt>
                <c:pt idx="12">
                  <c:v>6.235596605125798</c:v>
                </c:pt>
              </c:numCache>
            </c:numRef>
          </c:val>
          <c:smooth val="1"/>
        </c:ser>
        <c:ser>
          <c:idx val="9"/>
          <c:order val="9"/>
          <c:tx>
            <c:v>Tages-MW</c:v>
          </c:tx>
          <c:spPr>
            <a:ln w="254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strRef>
              <c:f>'(intern)'!$AB$3:$AN$3</c:f>
              <c:strCache>
                <c:ptCount val="13"/>
                <c:pt idx="0">
                  <c:v>KW 27</c:v>
                </c:pt>
                <c:pt idx="1">
                  <c:v>KW 28</c:v>
                </c:pt>
                <c:pt idx="2">
                  <c:v>KW 29</c:v>
                </c:pt>
                <c:pt idx="3">
                  <c:v>KW 30</c:v>
                </c:pt>
                <c:pt idx="4">
                  <c:v>KW 31</c:v>
                </c:pt>
                <c:pt idx="5">
                  <c:v>KW 32</c:v>
                </c:pt>
                <c:pt idx="6">
                  <c:v>KW 33</c:v>
                </c:pt>
                <c:pt idx="7">
                  <c:v>KW 34</c:v>
                </c:pt>
                <c:pt idx="8">
                  <c:v>KW 35</c:v>
                </c:pt>
                <c:pt idx="9">
                  <c:v>KW 36</c:v>
                </c:pt>
                <c:pt idx="10">
                  <c:v>KW 37</c:v>
                </c:pt>
                <c:pt idx="11">
                  <c:v>KW 38</c:v>
                </c:pt>
                <c:pt idx="12">
                  <c:v>KW 39</c:v>
                </c:pt>
              </c:strCache>
            </c:strRef>
          </c:cat>
          <c:val>
            <c:numRef>
              <c:f>'(intern)'!$AB$13:$AN$13</c:f>
              <c:numCache>
                <c:formatCode>0.0</c:formatCode>
                <c:ptCount val="13"/>
                <c:pt idx="0">
                  <c:v>6.672854018643737</c:v>
                </c:pt>
                <c:pt idx="1">
                  <c:v>6.672123715023387</c:v>
                </c:pt>
                <c:pt idx="2">
                  <c:v>6.672723973305399</c:v>
                </c:pt>
                <c:pt idx="3">
                  <c:v>6.672567235657506</c:v>
                </c:pt>
                <c:pt idx="4">
                  <c:v>6.672471641328764</c:v>
                </c:pt>
                <c:pt idx="5">
                  <c:v>6.67258761676389</c:v>
                </c:pt>
                <c:pt idx="6">
                  <c:v>6.672542164583387</c:v>
                </c:pt>
                <c:pt idx="7">
                  <c:v>6.672533807558681</c:v>
                </c:pt>
                <c:pt idx="8">
                  <c:v>6.672554529635319</c:v>
                </c:pt>
                <c:pt idx="9">
                  <c:v>6.672543500592463</c:v>
                </c:pt>
                <c:pt idx="10">
                  <c:v>6.67254394592882</c:v>
                </c:pt>
                <c:pt idx="11">
                  <c:v>6.672547325385534</c:v>
                </c:pt>
                <c:pt idx="12">
                  <c:v>6.67254492396894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4940792"/>
        <c:axId val="2114944312"/>
      </c:lineChart>
      <c:catAx>
        <c:axId val="2114940792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4944312"/>
        <c:crossesAt val="2.0"/>
        <c:auto val="1"/>
        <c:lblAlgn val="ctr"/>
        <c:lblOffset val="100"/>
        <c:tickMarkSkip val="1"/>
        <c:noMultiLvlLbl val="0"/>
      </c:catAx>
      <c:valAx>
        <c:axId val="2114944312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4940792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99CC" mc:Ignorable="a14" a14:legacySpreadsheetColorIndex="45"/>
        </a:gs>
        <a:gs pos="100000">
          <a:srgbClr xmlns:mc="http://schemas.openxmlformats.org/markup-compatibility/2006" xmlns:a14="http://schemas.microsoft.com/office/drawing/2010/main" val="FFFFFF" mc:Ignorable="a14" a14:legacySpreadsheetColorIndex="45">
            <a:gamma/>
            <a:tint val="0"/>
            <a:invGamma/>
          </a:srgbClr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Tagesprofile</a:t>
            </a:r>
          </a:p>
        </c:rich>
      </c:tx>
      <c:layout>
        <c:manualLayout>
          <c:xMode val="edge"/>
          <c:yMode val="edge"/>
          <c:x val="0.194748358862144"/>
          <c:y val="0.88566196667277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3807474022783"/>
          <c:y val="0.0224442509988953"/>
          <c:w val="0.807439824945295"/>
          <c:h val="0.802328238694619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'(intern)'!$AB$3</c:f>
              <c:strCache>
                <c:ptCount val="1"/>
                <c:pt idx="0">
                  <c:v>KW 27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'(intern)'!$AB$4:$AB$12</c:f>
              <c:numCache>
                <c:formatCode>0.0</c:formatCode>
                <c:ptCount val="9"/>
                <c:pt idx="0">
                  <c:v>6.04990713926852</c:v>
                </c:pt>
                <c:pt idx="1">
                  <c:v>9.677451934143831</c:v>
                </c:pt>
                <c:pt idx="2">
                  <c:v>7.244069489055855</c:v>
                </c:pt>
                <c:pt idx="3">
                  <c:v>5.531527885712828</c:v>
                </c:pt>
                <c:pt idx="4">
                  <c:v>7.183414527670994</c:v>
                </c:pt>
                <c:pt idx="5">
                  <c:v>6.951083375200634</c:v>
                </c:pt>
                <c:pt idx="6">
                  <c:v>6.973440952680228</c:v>
                </c:pt>
                <c:pt idx="7">
                  <c:v>6.072451002714003</c:v>
                </c:pt>
                <c:pt idx="8">
                  <c:v>6.23561164391592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'(intern)'!$AC$3</c:f>
              <c:strCache>
                <c:ptCount val="1"/>
                <c:pt idx="0">
                  <c:v>KW 28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  <a:round/>
            </a:ln>
          </c:spPr>
          <c:marker>
            <c:symbol val="circle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'(intern)'!$AC$4:$AC$12</c:f>
              <c:numCache>
                <c:formatCode>0.0</c:formatCode>
                <c:ptCount val="9"/>
                <c:pt idx="0">
                  <c:v>6.050117510692629</c:v>
                </c:pt>
                <c:pt idx="1">
                  <c:v>9.67800999755591</c:v>
                </c:pt>
                <c:pt idx="2">
                  <c:v>7.244367316618611</c:v>
                </c:pt>
                <c:pt idx="3">
                  <c:v>5.531137570269291</c:v>
                </c:pt>
                <c:pt idx="4">
                  <c:v>7.18258891077906</c:v>
                </c:pt>
                <c:pt idx="5">
                  <c:v>6.94862904191936</c:v>
                </c:pt>
                <c:pt idx="6">
                  <c:v>6.971434228404992</c:v>
                </c:pt>
                <c:pt idx="7">
                  <c:v>6.072180375829322</c:v>
                </c:pt>
                <c:pt idx="8">
                  <c:v>6.235548620919736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'(intern)'!$AD$3</c:f>
              <c:strCache>
                <c:ptCount val="1"/>
                <c:pt idx="0">
                  <c:v>KW 29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'(intern)'!$AD$4:$AD$12</c:f>
              <c:numCache>
                <c:formatCode>0.0</c:formatCode>
                <c:ptCount val="9"/>
                <c:pt idx="0">
                  <c:v>6.049952613115413</c:v>
                </c:pt>
                <c:pt idx="1">
                  <c:v>9.677731579137002</c:v>
                </c:pt>
                <c:pt idx="2">
                  <c:v>7.24462084812453</c:v>
                </c:pt>
                <c:pt idx="3">
                  <c:v>5.531695287545827</c:v>
                </c:pt>
                <c:pt idx="4">
                  <c:v>7.183802550256966</c:v>
                </c:pt>
                <c:pt idx="5">
                  <c:v>6.950552846986883</c:v>
                </c:pt>
                <c:pt idx="6">
                  <c:v>6.972341307947705</c:v>
                </c:pt>
                <c:pt idx="7">
                  <c:v>6.07217385965356</c:v>
                </c:pt>
                <c:pt idx="8">
                  <c:v>6.235623787052728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'(intern)'!$AE$3</c:f>
              <c:strCache>
                <c:ptCount val="1"/>
                <c:pt idx="0">
                  <c:v>KW 30</c:v>
                </c:pt>
              </c:strCache>
            </c:strRef>
          </c:tx>
          <c:spPr>
            <a:ln w="19050">
              <a:solidFill>
                <a:srgbClr val="C9C901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FFFF00"/>
              </a:solidFill>
              <a:ln>
                <a:solidFill>
                  <a:srgbClr val="C9C901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'(intern)'!$AE$4:$AE$12</c:f>
              <c:numCache>
                <c:formatCode>0.0</c:formatCode>
                <c:ptCount val="9"/>
                <c:pt idx="0">
                  <c:v>6.04999242102552</c:v>
                </c:pt>
                <c:pt idx="1">
                  <c:v>9.677731170278915</c:v>
                </c:pt>
                <c:pt idx="2">
                  <c:v>7.244352551266332</c:v>
                </c:pt>
                <c:pt idx="3">
                  <c:v>5.531453581175982</c:v>
                </c:pt>
                <c:pt idx="4">
                  <c:v>7.18326866290234</c:v>
                </c:pt>
                <c:pt idx="5">
                  <c:v>6.95008842136896</c:v>
                </c:pt>
                <c:pt idx="6">
                  <c:v>6.972405496344308</c:v>
                </c:pt>
                <c:pt idx="7">
                  <c:v>6.072268412732294</c:v>
                </c:pt>
                <c:pt idx="8">
                  <c:v>6.235594683962794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'(intern)'!$AF$3</c:f>
              <c:strCache>
                <c:ptCount val="1"/>
                <c:pt idx="0">
                  <c:v>KW 31</c:v>
                </c:pt>
              </c:strCache>
            </c:strRef>
          </c:tx>
          <c:spPr>
            <a:ln w="12700">
              <a:solidFill>
                <a:srgbClr val="99CC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'(intern)'!$AF$4:$AF$12</c:f>
              <c:numCache>
                <c:formatCode>0.0</c:formatCode>
                <c:ptCount val="9"/>
                <c:pt idx="0">
                  <c:v>6.050020848277854</c:v>
                </c:pt>
                <c:pt idx="1">
                  <c:v>9.67782424899061</c:v>
                </c:pt>
                <c:pt idx="2">
                  <c:v>7.244446905336491</c:v>
                </c:pt>
                <c:pt idx="3">
                  <c:v>5.531428812997032</c:v>
                </c:pt>
                <c:pt idx="4">
                  <c:v>7.18322004131279</c:v>
                </c:pt>
                <c:pt idx="5">
                  <c:v>6.949756770091735</c:v>
                </c:pt>
                <c:pt idx="6">
                  <c:v>6.972060344232334</c:v>
                </c:pt>
                <c:pt idx="7">
                  <c:v>6.07220754940506</c:v>
                </c:pt>
                <c:pt idx="8">
                  <c:v>6.235589030645086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'(intern)'!$AG$3</c:f>
              <c:strCache>
                <c:ptCount val="1"/>
                <c:pt idx="0">
                  <c:v>KW 32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'(intern)'!$AG$4:$AG$12</c:f>
              <c:numCache>
                <c:formatCode>0.0</c:formatCode>
                <c:ptCount val="9"/>
                <c:pt idx="0">
                  <c:v>6.049988627472929</c:v>
                </c:pt>
                <c:pt idx="1">
                  <c:v>9.677762332802176</c:v>
                </c:pt>
                <c:pt idx="2">
                  <c:v>7.244473434909117</c:v>
                </c:pt>
                <c:pt idx="3">
                  <c:v>5.531525893906281</c:v>
                </c:pt>
                <c:pt idx="4">
                  <c:v>7.183430418157365</c:v>
                </c:pt>
                <c:pt idx="5">
                  <c:v>6.950132679482526</c:v>
                </c:pt>
                <c:pt idx="6">
                  <c:v>6.972269049508116</c:v>
                </c:pt>
                <c:pt idx="7">
                  <c:v>6.072216607263638</c:v>
                </c:pt>
                <c:pt idx="8">
                  <c:v>6.235602500553536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'(intern)'!$AH$3</c:f>
              <c:strCache>
                <c:ptCount val="1"/>
                <c:pt idx="0">
                  <c:v>KW 33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'(intern)'!$AH$4:$AH$12</c:f>
              <c:numCache>
                <c:formatCode>0.0</c:formatCode>
                <c:ptCount val="9"/>
                <c:pt idx="0">
                  <c:v>6.050000632258768</c:v>
                </c:pt>
                <c:pt idx="1">
                  <c:v>9.6777725840239</c:v>
                </c:pt>
                <c:pt idx="2">
                  <c:v>7.244424297170647</c:v>
                </c:pt>
                <c:pt idx="3">
                  <c:v>5.531469429359764</c:v>
                </c:pt>
                <c:pt idx="4">
                  <c:v>7.183306374124164</c:v>
                </c:pt>
                <c:pt idx="5">
                  <c:v>6.94999262364774</c:v>
                </c:pt>
                <c:pt idx="6">
                  <c:v>6.972244963361586</c:v>
                </c:pt>
                <c:pt idx="7">
                  <c:v>6.072230856466998</c:v>
                </c:pt>
                <c:pt idx="8">
                  <c:v>6.235595405053806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'(intern)'!$AI$3</c:f>
              <c:strCache>
                <c:ptCount val="1"/>
                <c:pt idx="0">
                  <c:v>KW 34</c:v>
                </c:pt>
              </c:strCache>
            </c:strRef>
          </c:tx>
          <c:spPr>
            <a:ln w="12700">
              <a:solidFill>
                <a:srgbClr val="00B0F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B0F0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'(intern)'!$AI$4:$AI$12</c:f>
              <c:numCache>
                <c:formatCode>0.0</c:formatCode>
                <c:ptCount val="9"/>
                <c:pt idx="0">
                  <c:v>6.050003369336516</c:v>
                </c:pt>
                <c:pt idx="1">
                  <c:v>9.67778638860556</c:v>
                </c:pt>
                <c:pt idx="2">
                  <c:v>7.244448212472085</c:v>
                </c:pt>
                <c:pt idx="3">
                  <c:v>5.531474712087692</c:v>
                </c:pt>
                <c:pt idx="4">
                  <c:v>7.18331894453144</c:v>
                </c:pt>
                <c:pt idx="5">
                  <c:v>6.949960691074</c:v>
                </c:pt>
                <c:pt idx="6">
                  <c:v>6.972191452367346</c:v>
                </c:pt>
                <c:pt idx="7">
                  <c:v>6.072218337711899</c:v>
                </c:pt>
                <c:pt idx="8">
                  <c:v>6.235595645417477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'(intern)'!$AJ$3</c:f>
              <c:strCache>
                <c:ptCount val="1"/>
                <c:pt idx="0">
                  <c:v>KW 35</c:v>
                </c:pt>
              </c:strCache>
            </c:strRef>
          </c:tx>
          <c:spPr>
            <a:ln w="12700" cmpd="sng">
              <a:solidFill>
                <a:srgbClr val="3366FF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'(intern)'!$AJ$4:$AJ$12</c:f>
              <c:numCache>
                <c:formatCode>0.0</c:formatCode>
                <c:ptCount val="9"/>
                <c:pt idx="0">
                  <c:v>6.049997543022737</c:v>
                </c:pt>
                <c:pt idx="1">
                  <c:v>9.677773768477213</c:v>
                </c:pt>
                <c:pt idx="2">
                  <c:v>7.24444864818395</c:v>
                </c:pt>
                <c:pt idx="3">
                  <c:v>5.53149001178458</c:v>
                </c:pt>
                <c:pt idx="4">
                  <c:v>7.183351912270989</c:v>
                </c:pt>
                <c:pt idx="5">
                  <c:v>6.950028664734755</c:v>
                </c:pt>
                <c:pt idx="6">
                  <c:v>6.972235155079016</c:v>
                </c:pt>
                <c:pt idx="7">
                  <c:v>6.072221933814177</c:v>
                </c:pt>
                <c:pt idx="8">
                  <c:v>6.235597850341606</c:v>
                </c:pt>
              </c:numCache>
            </c:numRef>
          </c:val>
          <c:smooth val="1"/>
        </c:ser>
        <c:ser>
          <c:idx val="9"/>
          <c:order val="9"/>
          <c:tx>
            <c:strRef>
              <c:f>'(intern)'!$AK$3</c:f>
              <c:strCache>
                <c:ptCount val="1"/>
                <c:pt idx="0">
                  <c:v>KW 36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'(intern)'!$AK$4:$AK$12</c:f>
              <c:numCache>
                <c:formatCode>0.0</c:formatCode>
                <c:ptCount val="9"/>
                <c:pt idx="0">
                  <c:v>6.050000514872674</c:v>
                </c:pt>
                <c:pt idx="1">
                  <c:v>9.677777580368891</c:v>
                </c:pt>
                <c:pt idx="2">
                  <c:v>7.244440385942227</c:v>
                </c:pt>
                <c:pt idx="3">
                  <c:v>5.531478051077345</c:v>
                </c:pt>
                <c:pt idx="4">
                  <c:v>7.183325743642197</c:v>
                </c:pt>
                <c:pt idx="5">
                  <c:v>6.949993993152165</c:v>
                </c:pt>
                <c:pt idx="6">
                  <c:v>6.972223856935983</c:v>
                </c:pt>
                <c:pt idx="7">
                  <c:v>6.072223709331024</c:v>
                </c:pt>
                <c:pt idx="8">
                  <c:v>6.235596300270963</c:v>
                </c:pt>
              </c:numCache>
            </c:numRef>
          </c:val>
          <c:smooth val="1"/>
        </c:ser>
        <c:ser>
          <c:idx val="10"/>
          <c:order val="10"/>
          <c:tx>
            <c:strRef>
              <c:f>'(intern)'!$AL$3</c:f>
              <c:strCache>
                <c:ptCount val="1"/>
                <c:pt idx="0">
                  <c:v>KW 37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'(intern)'!$AL$4:$AL$12</c:f>
              <c:numCache>
                <c:formatCode>0.0</c:formatCode>
                <c:ptCount val="9"/>
                <c:pt idx="0">
                  <c:v>6.050000475743975</c:v>
                </c:pt>
                <c:pt idx="1">
                  <c:v>9.677779245817221</c:v>
                </c:pt>
                <c:pt idx="2">
                  <c:v>7.244445748866088</c:v>
                </c:pt>
                <c:pt idx="3">
                  <c:v>5.531480924983205</c:v>
                </c:pt>
                <c:pt idx="4">
                  <c:v>7.183332200148208</c:v>
                </c:pt>
                <c:pt idx="5">
                  <c:v>6.94999444965364</c:v>
                </c:pt>
                <c:pt idx="6">
                  <c:v>6.972216821460782</c:v>
                </c:pt>
                <c:pt idx="7">
                  <c:v>6.072221326952366</c:v>
                </c:pt>
                <c:pt idx="8">
                  <c:v>6.235596598676682</c:v>
                </c:pt>
              </c:numCache>
            </c:numRef>
          </c:val>
          <c:smooth val="1"/>
        </c:ser>
        <c:ser>
          <c:idx val="11"/>
          <c:order val="11"/>
          <c:tx>
            <c:strRef>
              <c:f>'(intern)'!$AM$3</c:f>
              <c:strCache>
                <c:ptCount val="1"/>
                <c:pt idx="0">
                  <c:v>KW 38</c:v>
                </c:pt>
              </c:strCache>
            </c:strRef>
          </c:tx>
          <c:spPr>
            <a:ln w="12700">
              <a:solidFill>
                <a:srgbClr val="993366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993366"/>
              </a:solidFill>
              <a:ln w="0">
                <a:solidFill>
                  <a:srgbClr val="993366"/>
                </a:solidFill>
                <a:prstDash val="solid"/>
              </a:ln>
            </c:spPr>
          </c:marker>
          <c:val>
            <c:numRef>
              <c:f>'(intern)'!$AM$4:$AM$12</c:f>
              <c:numCache>
                <c:formatCode>0.0</c:formatCode>
                <c:ptCount val="9"/>
                <c:pt idx="0">
                  <c:v>6.04999951121313</c:v>
                </c:pt>
                <c:pt idx="1">
                  <c:v>9.677776864887775</c:v>
                </c:pt>
                <c:pt idx="2">
                  <c:v>7.244444927664088</c:v>
                </c:pt>
                <c:pt idx="3">
                  <c:v>5.531482995948376</c:v>
                </c:pt>
                <c:pt idx="4">
                  <c:v>7.183336618687131</c:v>
                </c:pt>
                <c:pt idx="5">
                  <c:v>6.95000570251352</c:v>
                </c:pt>
                <c:pt idx="6">
                  <c:v>6.97222527782526</c:v>
                </c:pt>
                <c:pt idx="7">
                  <c:v>6.072222323365856</c:v>
                </c:pt>
                <c:pt idx="8">
                  <c:v>6.23559691642975</c:v>
                </c:pt>
              </c:numCache>
            </c:numRef>
          </c:val>
          <c:smooth val="1"/>
        </c:ser>
        <c:ser>
          <c:idx val="12"/>
          <c:order val="12"/>
          <c:tx>
            <c:strRef>
              <c:f>'(intern)'!$AN$3</c:f>
              <c:strCache>
                <c:ptCount val="1"/>
                <c:pt idx="0">
                  <c:v>KW 39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'(intern)'!$AN$4:$AN$12</c:f>
              <c:numCache>
                <c:formatCode>0.0</c:formatCode>
                <c:ptCount val="9"/>
                <c:pt idx="0">
                  <c:v>6.050000167276593</c:v>
                </c:pt>
                <c:pt idx="1">
                  <c:v>9.67777789702463</c:v>
                </c:pt>
                <c:pt idx="2">
                  <c:v>7.2444436874908</c:v>
                </c:pt>
                <c:pt idx="3">
                  <c:v>5.53148065733631</c:v>
                </c:pt>
                <c:pt idx="4">
                  <c:v>7.183331520825845</c:v>
                </c:pt>
                <c:pt idx="5">
                  <c:v>6.949998048439776</c:v>
                </c:pt>
                <c:pt idx="6">
                  <c:v>6.97222198540734</c:v>
                </c:pt>
                <c:pt idx="7">
                  <c:v>6.072222453216415</c:v>
                </c:pt>
                <c:pt idx="8">
                  <c:v>6.235596605125798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8206968"/>
        <c:axId val="2118212136"/>
      </c:lineChart>
      <c:catAx>
        <c:axId val="2118206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212136"/>
        <c:crossesAt val="2.0"/>
        <c:auto val="1"/>
        <c:lblAlgn val="ctr"/>
        <c:lblOffset val="100"/>
        <c:tickLblSkip val="1"/>
        <c:tickMarkSkip val="1"/>
        <c:noMultiLvlLbl val="0"/>
      </c:catAx>
      <c:valAx>
        <c:axId val="2118212136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206968"/>
        <c:crosses val="autoZero"/>
        <c:crossBetween val="between"/>
        <c:majorUnit val="1.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5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99CC" mc:Ignorable="a14" a14:legacySpreadsheetColorIndex="45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vert="horz"/>
          <a:lstStyle/>
          <a:p>
            <a:pPr algn="ctr">
              <a:defRPr sz="1575" b="1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Statistik</a:t>
            </a:r>
          </a:p>
        </c:rich>
      </c:tx>
      <c:layout>
        <c:manualLayout>
          <c:xMode val="edge"/>
          <c:yMode val="edge"/>
          <c:x val="0.0119695321001088"/>
          <c:y val="0.044573897739526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990208061751987"/>
          <c:y val="0.0387598182944261"/>
          <c:w val="0.867248159578388"/>
          <c:h val="0.779072347717963"/>
        </c:manualLayout>
      </c:layout>
      <c:stockChart>
        <c:ser>
          <c:idx val="0"/>
          <c:order val="0"/>
          <c:tx>
            <c:strRef>
              <c:f>'(intern)'!$AC$23</c:f>
              <c:strCache>
                <c:ptCount val="1"/>
                <c:pt idx="0">
                  <c:v>+1σ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'(intern)'!$AB$24:$AB$32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'(intern)'!$AC$24:$AC$32</c:f>
              <c:numCache>
                <c:formatCode>0.0</c:formatCode>
                <c:ptCount val="9"/>
                <c:pt idx="0">
                  <c:v>6.050044475331468</c:v>
                </c:pt>
                <c:pt idx="1">
                  <c:v>9.677883098109154</c:v>
                </c:pt>
                <c:pt idx="2">
                  <c:v>7.244539181389786</c:v>
                </c:pt>
                <c:pt idx="3">
                  <c:v>5.531590441489751</c:v>
                </c:pt>
                <c:pt idx="4">
                  <c:v>7.183568330238131</c:v>
                </c:pt>
                <c:pt idx="5">
                  <c:v>6.950552310907973</c:v>
                </c:pt>
                <c:pt idx="6">
                  <c:v>6.97269377427206</c:v>
                </c:pt>
                <c:pt idx="7">
                  <c:v>6.072304017490191</c:v>
                </c:pt>
                <c:pt idx="8">
                  <c:v>6.235612545950512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'(intern)'!$AD$23</c:f>
              <c:strCache>
                <c:ptCount val="1"/>
                <c:pt idx="0">
                  <c:v>- 1σ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'(intern)'!$AB$24:$AB$32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'(intern)'!$AD$24:$AD$32</c:f>
              <c:numCache>
                <c:formatCode>0.0</c:formatCode>
                <c:ptCount val="9"/>
                <c:pt idx="0">
                  <c:v>6.049952659065033</c:v>
                </c:pt>
                <c:pt idx="1">
                  <c:v>9.67764853144679</c:v>
                </c:pt>
                <c:pt idx="2">
                  <c:v>7.244295657548802</c:v>
                </c:pt>
                <c:pt idx="3">
                  <c:v>5.531351991461711</c:v>
                </c:pt>
                <c:pt idx="4">
                  <c:v>7.183051427501793</c:v>
                </c:pt>
                <c:pt idx="5">
                  <c:v>6.949481121132905</c:v>
                </c:pt>
                <c:pt idx="6">
                  <c:v>6.971846362890246</c:v>
                </c:pt>
                <c:pt idx="7">
                  <c:v>6.072166559195442</c:v>
                </c:pt>
                <c:pt idx="8">
                  <c:v>6.235579083028855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'(intern)'!$AE$23</c:f>
              <c:strCache>
                <c:ptCount val="1"/>
                <c:pt idx="0">
                  <c:v>MW</c:v>
                </c:pt>
              </c:strCache>
            </c:strRef>
          </c:tx>
          <c:spPr>
            <a:ln w="25400">
              <a:solidFill>
                <a:srgbClr val="80808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Pt>
            <c:idx val="5"/>
            <c:bubble3D val="0"/>
            <c:spPr>
              <a:ln w="25400">
                <a:solidFill>
                  <a:srgbClr val="969696"/>
                </a:solidFill>
                <a:prstDash val="solid"/>
              </a:ln>
            </c:spPr>
          </c:dPt>
          <c:cat>
            <c:strRef>
              <c:f>'(intern)'!$AB$24:$AB$32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'(intern)'!$AE$24:$AE$32</c:f>
              <c:numCache>
                <c:formatCode>0.0</c:formatCode>
                <c:ptCount val="9"/>
                <c:pt idx="0">
                  <c:v>6.049998567198251</c:v>
                </c:pt>
                <c:pt idx="1">
                  <c:v>9.677765814777972</c:v>
                </c:pt>
                <c:pt idx="2">
                  <c:v>7.244417419469294</c:v>
                </c:pt>
                <c:pt idx="3">
                  <c:v>5.531471216475731</c:v>
                </c:pt>
                <c:pt idx="4">
                  <c:v>7.183309878869962</c:v>
                </c:pt>
                <c:pt idx="5">
                  <c:v>6.950016716020439</c:v>
                </c:pt>
                <c:pt idx="6">
                  <c:v>6.972270068581153</c:v>
                </c:pt>
                <c:pt idx="7">
                  <c:v>6.072235288342816</c:v>
                </c:pt>
                <c:pt idx="8">
                  <c:v>6.235595814489684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axId val="2081625528"/>
        <c:axId val="2081628824"/>
      </c:stockChart>
      <c:catAx>
        <c:axId val="20816255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081628824"/>
        <c:crossesAt val="2.0"/>
        <c:auto val="1"/>
        <c:lblAlgn val="ctr"/>
        <c:lblOffset val="100"/>
        <c:tickMarkSkip val="1"/>
        <c:noMultiLvlLbl val="0"/>
      </c:catAx>
      <c:valAx>
        <c:axId val="2081628824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93300"/>
              </a:solidFill>
              <a:prstDash val="solid"/>
            </a:ln>
          </c:spPr>
        </c:majorGridlines>
        <c:numFmt formatCode="0.0" sourceLinked="1"/>
        <c:majorTickMark val="cross"/>
        <c:minorTickMark val="none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081625528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9933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99330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5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99CC" mc:Ignorable="a14" a14:legacySpreadsheetColorIndex="45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Verlauf</a:t>
            </a:r>
          </a:p>
        </c:rich>
      </c:tx>
      <c:layout>
        <c:manualLayout>
          <c:xMode val="edge"/>
          <c:yMode val="edge"/>
          <c:x val="0.00380228136882129"/>
          <c:y val="0.011006289308176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815446248896"/>
          <c:y val="0.0298742941111664"/>
          <c:w val="0.881951018801513"/>
          <c:h val="0.511007662427847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'(intern)'!$A$4</c:f>
              <c:strCache>
                <c:ptCount val="1"/>
                <c:pt idx="0">
                  <c:v>07:00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'(intern)'!$AO$4:$BA$4</c:f>
              <c:numCache>
                <c:formatCode>0.0</c:formatCode>
                <c:ptCount val="13"/>
                <c:pt idx="0">
                  <c:v>6.050000051411232</c:v>
                </c:pt>
                <c:pt idx="1">
                  <c:v>6.049999909966985</c:v>
                </c:pt>
                <c:pt idx="2">
                  <c:v>6.050000042884936</c:v>
                </c:pt>
                <c:pt idx="3">
                  <c:v>6.050000001421051</c:v>
                </c:pt>
                <c:pt idx="4">
                  <c:v>6.049999984757657</c:v>
                </c:pt>
                <c:pt idx="5">
                  <c:v>6.050000009687881</c:v>
                </c:pt>
                <c:pt idx="6">
                  <c:v>6.049999998622197</c:v>
                </c:pt>
                <c:pt idx="7">
                  <c:v>6.049999997689245</c:v>
                </c:pt>
                <c:pt idx="8">
                  <c:v>6.050000001999774</c:v>
                </c:pt>
                <c:pt idx="9">
                  <c:v>6.049999999437072</c:v>
                </c:pt>
                <c:pt idx="10">
                  <c:v>6.049999999708696</c:v>
                </c:pt>
                <c:pt idx="11">
                  <c:v>6.050000000381847</c:v>
                </c:pt>
                <c:pt idx="12">
                  <c:v>6.049999999842538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'(intern)'!$A$5</c:f>
              <c:strCache>
                <c:ptCount val="1"/>
                <c:pt idx="0">
                  <c:v>09:30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9"/>
            <c:spPr>
              <a:solidFill>
                <a:srgbClr val="FF99CC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'(intern)'!$AO$5:$BA$5</c:f>
              <c:numCache>
                <c:formatCode>0.0</c:formatCode>
                <c:ptCount val="13"/>
                <c:pt idx="0">
                  <c:v>9.677778002576542</c:v>
                </c:pt>
                <c:pt idx="1">
                  <c:v>9.677777588162982</c:v>
                </c:pt>
                <c:pt idx="2">
                  <c:v>9.677777829254717</c:v>
                </c:pt>
                <c:pt idx="3">
                  <c:v>9.677777806664748</c:v>
                </c:pt>
                <c:pt idx="4">
                  <c:v>9.677777741360815</c:v>
                </c:pt>
                <c:pt idx="5">
                  <c:v>9.67777779242676</c:v>
                </c:pt>
                <c:pt idx="6">
                  <c:v>9.677777780150775</c:v>
                </c:pt>
                <c:pt idx="7">
                  <c:v>9.677777771312783</c:v>
                </c:pt>
                <c:pt idx="8">
                  <c:v>9.677777781296774</c:v>
                </c:pt>
                <c:pt idx="9">
                  <c:v>9.677777777586778</c:v>
                </c:pt>
                <c:pt idx="10">
                  <c:v>9.677777776732112</c:v>
                </c:pt>
                <c:pt idx="11">
                  <c:v>9.677777778538555</c:v>
                </c:pt>
                <c:pt idx="12">
                  <c:v>9.677777777619148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'(intern)'!$A$6</c:f>
              <c:strCache>
                <c:ptCount val="1"/>
                <c:pt idx="0">
                  <c:v>12:00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8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'(intern)'!$AO$6:$BA$6</c:f>
              <c:numCache>
                <c:formatCode>0.0</c:formatCode>
                <c:ptCount val="13"/>
                <c:pt idx="0">
                  <c:v>7.244444788006992</c:v>
                </c:pt>
                <c:pt idx="1">
                  <c:v>7.244444467720626</c:v>
                </c:pt>
                <c:pt idx="2">
                  <c:v>7.244444314406139</c:v>
                </c:pt>
                <c:pt idx="3">
                  <c:v>7.244444523377918</c:v>
                </c:pt>
                <c:pt idx="4">
                  <c:v>7.244444435168227</c:v>
                </c:pt>
                <c:pt idx="5">
                  <c:v>7.244444424317428</c:v>
                </c:pt>
                <c:pt idx="6">
                  <c:v>7.244444460954524</c:v>
                </c:pt>
                <c:pt idx="7">
                  <c:v>7.244444440146727</c:v>
                </c:pt>
                <c:pt idx="8">
                  <c:v>7.244444441806227</c:v>
                </c:pt>
                <c:pt idx="9">
                  <c:v>7.244444447635826</c:v>
                </c:pt>
                <c:pt idx="10">
                  <c:v>7.244444443196259</c:v>
                </c:pt>
                <c:pt idx="11">
                  <c:v>7.24444444421277</c:v>
                </c:pt>
                <c:pt idx="12">
                  <c:v>7.244444445014952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'(intern)'!$A$7</c:f>
              <c:strCache>
                <c:ptCount val="1"/>
                <c:pt idx="0">
                  <c:v>14:30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'(intern)'!$AO$7:$BA$7</c:f>
              <c:numCache>
                <c:formatCode>0.0</c:formatCode>
                <c:ptCount val="13"/>
                <c:pt idx="0">
                  <c:v>5.531481526089298</c:v>
                </c:pt>
                <c:pt idx="1">
                  <c:v>5.531481726457995</c:v>
                </c:pt>
                <c:pt idx="2">
                  <c:v>5.531481303294533</c:v>
                </c:pt>
                <c:pt idx="3">
                  <c:v>5.531481518613941</c:v>
                </c:pt>
                <c:pt idx="4">
                  <c:v>5.531481516122156</c:v>
                </c:pt>
                <c:pt idx="5">
                  <c:v>5.53148144601021</c:v>
                </c:pt>
                <c:pt idx="6">
                  <c:v>5.531481493582102</c:v>
                </c:pt>
                <c:pt idx="7">
                  <c:v>5.531481485238156</c:v>
                </c:pt>
                <c:pt idx="8">
                  <c:v>5.53148147494349</c:v>
                </c:pt>
                <c:pt idx="9">
                  <c:v>5.531481484587916</c:v>
                </c:pt>
                <c:pt idx="10">
                  <c:v>5.531481481589854</c:v>
                </c:pt>
                <c:pt idx="11">
                  <c:v>5.531481480373753</c:v>
                </c:pt>
                <c:pt idx="12">
                  <c:v>5.53148148218384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'(intern)'!$A$8</c:f>
              <c:strCache>
                <c:ptCount val="1"/>
                <c:pt idx="0">
                  <c:v>17:30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'(intern)'!$AO$8:$BA$8</c:f>
              <c:numCache>
                <c:formatCode>0.0</c:formatCode>
                <c:ptCount val="13"/>
                <c:pt idx="0">
                  <c:v>7.183333446553728</c:v>
                </c:pt>
                <c:pt idx="1">
                  <c:v>7.183333862022235</c:v>
                </c:pt>
                <c:pt idx="2">
                  <c:v>7.183332943133936</c:v>
                </c:pt>
                <c:pt idx="3">
                  <c:v>7.183333417236633</c:v>
                </c:pt>
                <c:pt idx="4">
                  <c:v>7.183333407464267</c:v>
                </c:pt>
                <c:pt idx="5">
                  <c:v>7.183333255944945</c:v>
                </c:pt>
                <c:pt idx="6">
                  <c:v>7.183333360215282</c:v>
                </c:pt>
                <c:pt idx="7">
                  <c:v>7.183333341208165</c:v>
                </c:pt>
                <c:pt idx="8">
                  <c:v>7.183333319122798</c:v>
                </c:pt>
                <c:pt idx="9">
                  <c:v>7.183333340182082</c:v>
                </c:pt>
                <c:pt idx="10">
                  <c:v>7.183333333504347</c:v>
                </c:pt>
                <c:pt idx="11">
                  <c:v>7.183333330936409</c:v>
                </c:pt>
                <c:pt idx="12">
                  <c:v>7.18333333487428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'(intern)'!$A$9</c:f>
              <c:strCache>
                <c:ptCount val="1"/>
                <c:pt idx="0">
                  <c:v>20:00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'(intern)'!$AO$9:$BA$9</c:f>
              <c:numCache>
                <c:formatCode>0.0</c:formatCode>
                <c:ptCount val="13"/>
                <c:pt idx="0">
                  <c:v>6.949999400202313</c:v>
                </c:pt>
                <c:pt idx="1">
                  <c:v>6.950001050385204</c:v>
                </c:pt>
                <c:pt idx="2">
                  <c:v>6.949999499675764</c:v>
                </c:pt>
                <c:pt idx="3">
                  <c:v>6.949999983421093</c:v>
                </c:pt>
                <c:pt idx="4">
                  <c:v>6.950000177827355</c:v>
                </c:pt>
                <c:pt idx="5">
                  <c:v>6.949999886974738</c:v>
                </c:pt>
                <c:pt idx="6">
                  <c:v>6.950000016074395</c:v>
                </c:pt>
                <c:pt idx="7">
                  <c:v>6.95000002695883</c:v>
                </c:pt>
                <c:pt idx="8">
                  <c:v>6.94999997666932</c:v>
                </c:pt>
                <c:pt idx="9">
                  <c:v>6.950000006567515</c:v>
                </c:pt>
                <c:pt idx="10">
                  <c:v>6.950000003398554</c:v>
                </c:pt>
                <c:pt idx="11">
                  <c:v>6.94999999554513</c:v>
                </c:pt>
                <c:pt idx="12">
                  <c:v>6.950000001837065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'(intern)'!$A$10</c:f>
              <c:strCache>
                <c:ptCount val="1"/>
                <c:pt idx="0">
                  <c:v>23:00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660066"/>
              </a:solidFill>
              <a:ln>
                <a:solidFill>
                  <a:srgbClr val="660066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'(intern)'!$AO$10:$BA$10</c:f>
              <c:numCache>
                <c:formatCode>0.0</c:formatCode>
                <c:ptCount val="13"/>
                <c:pt idx="0">
                  <c:v>6.97222136156446</c:v>
                </c:pt>
                <c:pt idx="1">
                  <c:v>6.972222874932353</c:v>
                </c:pt>
                <c:pt idx="2">
                  <c:v>6.972222073968051</c:v>
                </c:pt>
                <c:pt idx="3">
                  <c:v>6.972222103488288</c:v>
                </c:pt>
                <c:pt idx="4">
                  <c:v>6.97222235079623</c:v>
                </c:pt>
                <c:pt idx="5">
                  <c:v>6.97222217608419</c:v>
                </c:pt>
                <c:pt idx="6">
                  <c:v>6.972222210122903</c:v>
                </c:pt>
                <c:pt idx="7">
                  <c:v>6.972222245667775</c:v>
                </c:pt>
                <c:pt idx="8">
                  <c:v>6.972222210624956</c:v>
                </c:pt>
                <c:pt idx="9">
                  <c:v>6.972222222138545</c:v>
                </c:pt>
                <c:pt idx="10">
                  <c:v>6.97222222614376</c:v>
                </c:pt>
                <c:pt idx="11">
                  <c:v>6.972222219635753</c:v>
                </c:pt>
                <c:pt idx="12">
                  <c:v>6.972222222639352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'(intern)'!$A$11</c:f>
              <c:strCache>
                <c:ptCount val="1"/>
                <c:pt idx="0">
                  <c:v>Nacht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6"/>
            <c:spPr>
              <a:noFill/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'(intern)'!$AO$11:$BA$11</c:f>
              <c:numCache>
                <c:formatCode>0.0</c:formatCode>
                <c:ptCount val="13"/>
                <c:pt idx="0">
                  <c:v>6.072222034511546</c:v>
                </c:pt>
                <c:pt idx="1">
                  <c:v>6.072222270364606</c:v>
                </c:pt>
                <c:pt idx="2">
                  <c:v>6.072222252697522</c:v>
                </c:pt>
                <c:pt idx="3">
                  <c:v>6.07222218585789</c:v>
                </c:pt>
                <c:pt idx="4">
                  <c:v>6.072222236306673</c:v>
                </c:pt>
                <c:pt idx="5">
                  <c:v>6.072222224954028</c:v>
                </c:pt>
                <c:pt idx="6">
                  <c:v>6.072222215706197</c:v>
                </c:pt>
                <c:pt idx="7">
                  <c:v>6.072222225655632</c:v>
                </c:pt>
                <c:pt idx="8">
                  <c:v>6.072222222105286</c:v>
                </c:pt>
                <c:pt idx="9">
                  <c:v>6.072222221155705</c:v>
                </c:pt>
                <c:pt idx="10">
                  <c:v>6.072222222972207</c:v>
                </c:pt>
                <c:pt idx="11">
                  <c:v>6.072222222077733</c:v>
                </c:pt>
                <c:pt idx="12">
                  <c:v>6.07222222206855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'(intern)'!$A$12</c:f>
              <c:strCache>
                <c:ptCount val="1"/>
                <c:pt idx="0">
                  <c:v>Früh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triangle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'(intern)'!$AO$12:$BA$12</c:f>
              <c:numCache>
                <c:formatCode>0.0</c:formatCode>
                <c:ptCount val="13"/>
                <c:pt idx="0">
                  <c:v>6.235596706744076</c:v>
                </c:pt>
                <c:pt idx="1">
                  <c:v>6.235596742766542</c:v>
                </c:pt>
                <c:pt idx="2">
                  <c:v>6.235596684878806</c:v>
                </c:pt>
                <c:pt idx="3">
                  <c:v>6.235596711463141</c:v>
                </c:pt>
                <c:pt idx="4">
                  <c:v>6.235596713036163</c:v>
                </c:pt>
                <c:pt idx="5">
                  <c:v>6.235596703126037</c:v>
                </c:pt>
                <c:pt idx="6">
                  <c:v>6.235596709208448</c:v>
                </c:pt>
                <c:pt idx="7">
                  <c:v>6.235596708456883</c:v>
                </c:pt>
                <c:pt idx="8">
                  <c:v>6.235596706930456</c:v>
                </c:pt>
                <c:pt idx="9">
                  <c:v>6.235596708198595</c:v>
                </c:pt>
                <c:pt idx="10">
                  <c:v>6.235596707861977</c:v>
                </c:pt>
                <c:pt idx="11">
                  <c:v>6.235596707663675</c:v>
                </c:pt>
                <c:pt idx="12">
                  <c:v>6.235596707908082</c:v>
                </c:pt>
              </c:numCache>
            </c:numRef>
          </c:val>
          <c:smooth val="0"/>
        </c:ser>
        <c:ser>
          <c:idx val="9"/>
          <c:order val="9"/>
          <c:tx>
            <c:v>Tages-MW</c:v>
          </c:tx>
          <c:spPr>
            <a:ln w="254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strRef>
              <c:f>'(intern)'!$AO$3:$BA$3</c:f>
              <c:strCache>
                <c:ptCount val="13"/>
                <c:pt idx="0">
                  <c:v>KW 40</c:v>
                </c:pt>
                <c:pt idx="1">
                  <c:v>KW 41</c:v>
                </c:pt>
                <c:pt idx="2">
                  <c:v>KW 42</c:v>
                </c:pt>
                <c:pt idx="3">
                  <c:v>KW 43</c:v>
                </c:pt>
                <c:pt idx="4">
                  <c:v>KW 44</c:v>
                </c:pt>
                <c:pt idx="5">
                  <c:v>KW 45</c:v>
                </c:pt>
                <c:pt idx="6">
                  <c:v>KW 46</c:v>
                </c:pt>
                <c:pt idx="7">
                  <c:v>KW 47</c:v>
                </c:pt>
                <c:pt idx="8">
                  <c:v>KW 48</c:v>
                </c:pt>
                <c:pt idx="9">
                  <c:v>KW 49</c:v>
                </c:pt>
                <c:pt idx="10">
                  <c:v>KW 50</c:v>
                </c:pt>
                <c:pt idx="11">
                  <c:v>KW 51</c:v>
                </c:pt>
                <c:pt idx="12">
                  <c:v>KW 52</c:v>
                </c:pt>
              </c:strCache>
            </c:strRef>
          </c:cat>
          <c:val>
            <c:numRef>
              <c:f>'(intern)'!$AO$13:$BA$13</c:f>
              <c:numCache>
                <c:formatCode>0.0</c:formatCode>
                <c:ptCount val="13"/>
                <c:pt idx="0">
                  <c:v>6.672545398427764</c:v>
                </c:pt>
                <c:pt idx="1">
                  <c:v>6.672545882594078</c:v>
                </c:pt>
                <c:pt idx="2">
                  <c:v>6.672545401663593</c:v>
                </c:pt>
                <c:pt idx="3">
                  <c:v>6.672545560895145</c:v>
                </c:pt>
                <c:pt idx="4">
                  <c:v>6.67254561505094</c:v>
                </c:pt>
                <c:pt idx="5">
                  <c:v>6.672545525869893</c:v>
                </c:pt>
                <c:pt idx="6">
                  <c:v>6.672545567271991</c:v>
                </c:pt>
                <c:pt idx="7">
                  <c:v>6.672545569397608</c:v>
                </c:pt>
                <c:pt idx="8">
                  <c:v>6.672545554179832</c:v>
                </c:pt>
                <c:pt idx="9">
                  <c:v>6.672545563616476</c:v>
                </c:pt>
                <c:pt idx="10">
                  <c:v>6.672545562397972</c:v>
                </c:pt>
                <c:pt idx="11">
                  <c:v>6.67254556006476</c:v>
                </c:pt>
                <c:pt idx="12">
                  <c:v>6.672545562026402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7096248"/>
        <c:axId val="2117092440"/>
      </c:lineChart>
      <c:catAx>
        <c:axId val="2117096248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7092440"/>
        <c:crossesAt val="2.0"/>
        <c:auto val="1"/>
        <c:lblAlgn val="ctr"/>
        <c:lblOffset val="100"/>
        <c:tickMarkSkip val="1"/>
        <c:noMultiLvlLbl val="0"/>
      </c:catAx>
      <c:valAx>
        <c:axId val="2117092440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7096248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CCFFFF" mc:Ignorable="a14" a14:legacySpreadsheetColorIndex="41"/>
        </a:gs>
        <a:gs pos="100000">
          <a:srgbClr xmlns:mc="http://schemas.openxmlformats.org/markup-compatibility/2006" xmlns:a14="http://schemas.microsoft.com/office/drawing/2010/main" val="FFFFFF" mc:Ignorable="a14" a14:legacySpreadsheetColorIndex="41">
            <a:gamma/>
            <a:tint val="0"/>
            <a:invGamma/>
          </a:srgbClr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Tagesrofile</a:t>
            </a:r>
          </a:p>
        </c:rich>
      </c:tx>
      <c:layout>
        <c:manualLayout>
          <c:xMode val="edge"/>
          <c:yMode val="edge"/>
          <c:x val="0.192904801811082"/>
          <c:y val="0.88932293657467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1796164607213"/>
          <c:y val="0.0427185681087913"/>
          <c:w val="0.799335460588444"/>
          <c:h val="0.766992472862389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'(intern)'!$AO$3</c:f>
              <c:strCache>
                <c:ptCount val="1"/>
                <c:pt idx="0">
                  <c:v>KW 40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'(intern)'!$AO$4:$AO$12</c:f>
              <c:numCache>
                <c:formatCode>0.0</c:formatCode>
                <c:ptCount val="9"/>
                <c:pt idx="0">
                  <c:v>6.050000051411232</c:v>
                </c:pt>
                <c:pt idx="1">
                  <c:v>9.677778002576542</c:v>
                </c:pt>
                <c:pt idx="2">
                  <c:v>7.244444788006992</c:v>
                </c:pt>
                <c:pt idx="3">
                  <c:v>5.531481526089298</c:v>
                </c:pt>
                <c:pt idx="4">
                  <c:v>7.183333446553728</c:v>
                </c:pt>
                <c:pt idx="5">
                  <c:v>6.949999400202313</c:v>
                </c:pt>
                <c:pt idx="6">
                  <c:v>6.97222136156446</c:v>
                </c:pt>
                <c:pt idx="7">
                  <c:v>6.072222034511546</c:v>
                </c:pt>
                <c:pt idx="8">
                  <c:v>6.235596706744076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'(intern)'!$AP$3</c:f>
              <c:strCache>
                <c:ptCount val="1"/>
                <c:pt idx="0">
                  <c:v>KW 41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'(intern)'!$AP$4:$AP$12</c:f>
              <c:numCache>
                <c:formatCode>0.0</c:formatCode>
                <c:ptCount val="9"/>
                <c:pt idx="0">
                  <c:v>6.049999909966985</c:v>
                </c:pt>
                <c:pt idx="1">
                  <c:v>9.677777588162982</c:v>
                </c:pt>
                <c:pt idx="2">
                  <c:v>7.244444467720626</c:v>
                </c:pt>
                <c:pt idx="3">
                  <c:v>5.531481726457995</c:v>
                </c:pt>
                <c:pt idx="4">
                  <c:v>7.183333862022235</c:v>
                </c:pt>
                <c:pt idx="5">
                  <c:v>6.950001050385204</c:v>
                </c:pt>
                <c:pt idx="6">
                  <c:v>6.972222874932353</c:v>
                </c:pt>
                <c:pt idx="7">
                  <c:v>6.072222270364606</c:v>
                </c:pt>
                <c:pt idx="8">
                  <c:v>6.235596742766542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'(intern)'!$AQ$3</c:f>
              <c:strCache>
                <c:ptCount val="1"/>
                <c:pt idx="0">
                  <c:v>KW 42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dPt>
            <c:idx val="2"/>
            <c:bubble3D val="0"/>
          </c:dPt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'(intern)'!$AQ$4:$AQ$12</c:f>
              <c:numCache>
                <c:formatCode>0.0</c:formatCode>
                <c:ptCount val="9"/>
                <c:pt idx="0">
                  <c:v>6.050000042884936</c:v>
                </c:pt>
                <c:pt idx="1">
                  <c:v>9.677777829254717</c:v>
                </c:pt>
                <c:pt idx="2">
                  <c:v>7.244444314406139</c:v>
                </c:pt>
                <c:pt idx="3">
                  <c:v>5.531481303294533</c:v>
                </c:pt>
                <c:pt idx="4">
                  <c:v>7.183332943133936</c:v>
                </c:pt>
                <c:pt idx="5">
                  <c:v>6.949999499675764</c:v>
                </c:pt>
                <c:pt idx="6">
                  <c:v>6.972222073968051</c:v>
                </c:pt>
                <c:pt idx="7">
                  <c:v>6.072222252697522</c:v>
                </c:pt>
                <c:pt idx="8">
                  <c:v>6.235596684878806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'(intern)'!$AR$3</c:f>
              <c:strCache>
                <c:ptCount val="1"/>
                <c:pt idx="0">
                  <c:v>KW 43</c:v>
                </c:pt>
              </c:strCache>
            </c:strRef>
          </c:tx>
          <c:spPr>
            <a:ln w="12700">
              <a:solidFill>
                <a:srgbClr val="99CC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FF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'(intern)'!$AR$4:$AR$12</c:f>
              <c:numCache>
                <c:formatCode>0.0</c:formatCode>
                <c:ptCount val="9"/>
                <c:pt idx="0">
                  <c:v>6.050000001421051</c:v>
                </c:pt>
                <c:pt idx="1">
                  <c:v>9.677777806664748</c:v>
                </c:pt>
                <c:pt idx="2">
                  <c:v>7.244444523377918</c:v>
                </c:pt>
                <c:pt idx="3">
                  <c:v>5.531481518613941</c:v>
                </c:pt>
                <c:pt idx="4">
                  <c:v>7.183333417236633</c:v>
                </c:pt>
                <c:pt idx="5">
                  <c:v>6.949999983421093</c:v>
                </c:pt>
                <c:pt idx="6">
                  <c:v>6.972222103488288</c:v>
                </c:pt>
                <c:pt idx="7">
                  <c:v>6.07222218585789</c:v>
                </c:pt>
                <c:pt idx="8">
                  <c:v>6.235596711463141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'(intern)'!$AS$3</c:f>
              <c:strCache>
                <c:ptCount val="1"/>
                <c:pt idx="0">
                  <c:v>KW 44</c:v>
                </c:pt>
              </c:strCache>
            </c:strRef>
          </c:tx>
          <c:spPr>
            <a:ln w="12700">
              <a:solidFill>
                <a:srgbClr val="99CC0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'(intern)'!$AS$4:$AS$12</c:f>
              <c:numCache>
                <c:formatCode>0.0</c:formatCode>
                <c:ptCount val="9"/>
                <c:pt idx="0">
                  <c:v>6.049999984757657</c:v>
                </c:pt>
                <c:pt idx="1">
                  <c:v>9.677777741360815</c:v>
                </c:pt>
                <c:pt idx="2">
                  <c:v>7.244444435168227</c:v>
                </c:pt>
                <c:pt idx="3">
                  <c:v>5.531481516122156</c:v>
                </c:pt>
                <c:pt idx="4">
                  <c:v>7.183333407464267</c:v>
                </c:pt>
                <c:pt idx="5">
                  <c:v>6.950000177827355</c:v>
                </c:pt>
                <c:pt idx="6">
                  <c:v>6.97222235079623</c:v>
                </c:pt>
                <c:pt idx="7">
                  <c:v>6.072222236306673</c:v>
                </c:pt>
                <c:pt idx="8">
                  <c:v>6.235596713036163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'(intern)'!$AT$3</c:f>
              <c:strCache>
                <c:ptCount val="1"/>
                <c:pt idx="0">
                  <c:v>KW 45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'(intern)'!$AT$4:$AT$12</c:f>
              <c:numCache>
                <c:formatCode>0.0</c:formatCode>
                <c:ptCount val="9"/>
                <c:pt idx="0">
                  <c:v>6.050000009687881</c:v>
                </c:pt>
                <c:pt idx="1">
                  <c:v>9.67777779242676</c:v>
                </c:pt>
                <c:pt idx="2">
                  <c:v>7.244444424317428</c:v>
                </c:pt>
                <c:pt idx="3">
                  <c:v>5.53148144601021</c:v>
                </c:pt>
                <c:pt idx="4">
                  <c:v>7.183333255944945</c:v>
                </c:pt>
                <c:pt idx="5">
                  <c:v>6.949999886974738</c:v>
                </c:pt>
                <c:pt idx="6">
                  <c:v>6.97222217608419</c:v>
                </c:pt>
                <c:pt idx="7">
                  <c:v>6.072222224954028</c:v>
                </c:pt>
                <c:pt idx="8">
                  <c:v>6.235596703126037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'(intern)'!$AU$3</c:f>
              <c:strCache>
                <c:ptCount val="1"/>
                <c:pt idx="0">
                  <c:v>KW 46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'(intern)'!$AU$4:$AU$12</c:f>
              <c:numCache>
                <c:formatCode>0.0</c:formatCode>
                <c:ptCount val="9"/>
                <c:pt idx="0">
                  <c:v>6.049999998622197</c:v>
                </c:pt>
                <c:pt idx="1">
                  <c:v>9.677777780150775</c:v>
                </c:pt>
                <c:pt idx="2">
                  <c:v>7.244444460954524</c:v>
                </c:pt>
                <c:pt idx="3">
                  <c:v>5.531481493582102</c:v>
                </c:pt>
                <c:pt idx="4">
                  <c:v>7.183333360215282</c:v>
                </c:pt>
                <c:pt idx="5">
                  <c:v>6.950000016074395</c:v>
                </c:pt>
                <c:pt idx="6">
                  <c:v>6.972222210122903</c:v>
                </c:pt>
                <c:pt idx="7">
                  <c:v>6.072222215706197</c:v>
                </c:pt>
                <c:pt idx="8">
                  <c:v>6.235596709208448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'(intern)'!$AV$3</c:f>
              <c:strCache>
                <c:ptCount val="1"/>
                <c:pt idx="0">
                  <c:v>KW 47</c:v>
                </c:pt>
              </c:strCache>
            </c:strRef>
          </c:tx>
          <c:spPr>
            <a:ln w="12700">
              <a:solidFill>
                <a:srgbClr val="3366FF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33CCCC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'(intern)'!$AV$4:$AV$12</c:f>
              <c:numCache>
                <c:formatCode>0.0</c:formatCode>
                <c:ptCount val="9"/>
                <c:pt idx="0">
                  <c:v>6.049999997689245</c:v>
                </c:pt>
                <c:pt idx="1">
                  <c:v>9.677777771312783</c:v>
                </c:pt>
                <c:pt idx="2">
                  <c:v>7.244444440146727</c:v>
                </c:pt>
                <c:pt idx="3">
                  <c:v>5.531481485238156</c:v>
                </c:pt>
                <c:pt idx="4">
                  <c:v>7.183333341208165</c:v>
                </c:pt>
                <c:pt idx="5">
                  <c:v>6.95000002695883</c:v>
                </c:pt>
                <c:pt idx="6">
                  <c:v>6.972222245667775</c:v>
                </c:pt>
                <c:pt idx="7">
                  <c:v>6.072222225655632</c:v>
                </c:pt>
                <c:pt idx="8">
                  <c:v>6.235596708456883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'(intern)'!$AW$3</c:f>
              <c:strCache>
                <c:ptCount val="1"/>
                <c:pt idx="0">
                  <c:v>KW 48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'(intern)'!$AW$4:$AW$12</c:f>
              <c:numCache>
                <c:formatCode>0.0</c:formatCode>
                <c:ptCount val="9"/>
                <c:pt idx="0">
                  <c:v>6.050000001999774</c:v>
                </c:pt>
                <c:pt idx="1">
                  <c:v>9.677777781296774</c:v>
                </c:pt>
                <c:pt idx="2">
                  <c:v>7.244444441806227</c:v>
                </c:pt>
                <c:pt idx="3">
                  <c:v>5.53148147494349</c:v>
                </c:pt>
                <c:pt idx="4">
                  <c:v>7.183333319122798</c:v>
                </c:pt>
                <c:pt idx="5">
                  <c:v>6.94999997666932</c:v>
                </c:pt>
                <c:pt idx="6">
                  <c:v>6.972222210624956</c:v>
                </c:pt>
                <c:pt idx="7">
                  <c:v>6.072222222105286</c:v>
                </c:pt>
                <c:pt idx="8">
                  <c:v>6.235596706930456</c:v>
                </c:pt>
              </c:numCache>
            </c:numRef>
          </c:val>
          <c:smooth val="1"/>
        </c:ser>
        <c:ser>
          <c:idx val="9"/>
          <c:order val="9"/>
          <c:tx>
            <c:strRef>
              <c:f>'(intern)'!$AX$3</c:f>
              <c:strCache>
                <c:ptCount val="1"/>
                <c:pt idx="0">
                  <c:v>KW 49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'(intern)'!$AX$4:$AX$12</c:f>
              <c:numCache>
                <c:formatCode>0.0</c:formatCode>
                <c:ptCount val="9"/>
                <c:pt idx="0">
                  <c:v>6.049999999437072</c:v>
                </c:pt>
                <c:pt idx="1">
                  <c:v>9.677777777586778</c:v>
                </c:pt>
                <c:pt idx="2">
                  <c:v>7.244444447635826</c:v>
                </c:pt>
                <c:pt idx="3">
                  <c:v>5.531481484587916</c:v>
                </c:pt>
                <c:pt idx="4">
                  <c:v>7.183333340182082</c:v>
                </c:pt>
                <c:pt idx="5">
                  <c:v>6.950000006567515</c:v>
                </c:pt>
                <c:pt idx="6">
                  <c:v>6.972222222138545</c:v>
                </c:pt>
                <c:pt idx="7">
                  <c:v>6.072222221155705</c:v>
                </c:pt>
                <c:pt idx="8">
                  <c:v>6.235596708198595</c:v>
                </c:pt>
              </c:numCache>
            </c:numRef>
          </c:val>
          <c:smooth val="1"/>
        </c:ser>
        <c:ser>
          <c:idx val="10"/>
          <c:order val="10"/>
          <c:tx>
            <c:strRef>
              <c:f>'(intern)'!$AY$3</c:f>
              <c:strCache>
                <c:ptCount val="1"/>
                <c:pt idx="0">
                  <c:v>KW 50</c:v>
                </c:pt>
              </c:strCache>
            </c:strRef>
          </c:tx>
          <c:spPr>
            <a:ln w="12700">
              <a:solidFill>
                <a:srgbClr val="660066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'(intern)'!$AY$4:$AY$12</c:f>
              <c:numCache>
                <c:formatCode>0.0</c:formatCode>
                <c:ptCount val="9"/>
                <c:pt idx="0">
                  <c:v>6.049999999708696</c:v>
                </c:pt>
                <c:pt idx="1">
                  <c:v>9.677777776732112</c:v>
                </c:pt>
                <c:pt idx="2">
                  <c:v>7.244444443196259</c:v>
                </c:pt>
                <c:pt idx="3">
                  <c:v>5.531481481589854</c:v>
                </c:pt>
                <c:pt idx="4">
                  <c:v>7.183333333504347</c:v>
                </c:pt>
                <c:pt idx="5">
                  <c:v>6.950000003398554</c:v>
                </c:pt>
                <c:pt idx="6">
                  <c:v>6.97222222614376</c:v>
                </c:pt>
                <c:pt idx="7">
                  <c:v>6.072222222972207</c:v>
                </c:pt>
                <c:pt idx="8">
                  <c:v>6.235596707861977</c:v>
                </c:pt>
              </c:numCache>
            </c:numRef>
          </c:val>
          <c:smooth val="1"/>
        </c:ser>
        <c:ser>
          <c:idx val="11"/>
          <c:order val="11"/>
          <c:tx>
            <c:strRef>
              <c:f>'(intern)'!$AZ$3</c:f>
              <c:strCache>
                <c:ptCount val="1"/>
                <c:pt idx="0">
                  <c:v>KW 51</c:v>
                </c:pt>
              </c:strCache>
            </c:strRef>
          </c:tx>
          <c:spPr>
            <a:ln w="12700">
              <a:solidFill>
                <a:srgbClr val="993366"/>
              </a:solidFill>
              <a:prstDash val="solid"/>
            </a:ln>
          </c:spPr>
          <c:marker>
            <c:symbol val="circle"/>
            <c:size val="2"/>
            <c:spPr>
              <a:solidFill>
                <a:srgbClr val="993366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val>
            <c:numRef>
              <c:f>'(intern)'!$AZ$4:$AZ$12</c:f>
              <c:numCache>
                <c:formatCode>0.0</c:formatCode>
                <c:ptCount val="9"/>
                <c:pt idx="0">
                  <c:v>6.050000000381847</c:v>
                </c:pt>
                <c:pt idx="1">
                  <c:v>9.677777778538555</c:v>
                </c:pt>
                <c:pt idx="2">
                  <c:v>7.24444444421277</c:v>
                </c:pt>
                <c:pt idx="3">
                  <c:v>5.531481480373753</c:v>
                </c:pt>
                <c:pt idx="4">
                  <c:v>7.183333330936409</c:v>
                </c:pt>
                <c:pt idx="5">
                  <c:v>6.94999999554513</c:v>
                </c:pt>
                <c:pt idx="6">
                  <c:v>6.972222219635753</c:v>
                </c:pt>
                <c:pt idx="7">
                  <c:v>6.072222222077733</c:v>
                </c:pt>
                <c:pt idx="8">
                  <c:v>6.235596707663675</c:v>
                </c:pt>
              </c:numCache>
            </c:numRef>
          </c:val>
          <c:smooth val="1"/>
        </c:ser>
        <c:ser>
          <c:idx val="12"/>
          <c:order val="12"/>
          <c:tx>
            <c:strRef>
              <c:f>'(intern)'!$BA$3</c:f>
              <c:strCache>
                <c:ptCount val="1"/>
                <c:pt idx="0">
                  <c:v>KW 52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FF"/>
              </a:solidFill>
            </c:spPr>
          </c:marker>
          <c:val>
            <c:numRef>
              <c:f>'(intern)'!$BA$4:$BA$12</c:f>
              <c:numCache>
                <c:formatCode>0.0</c:formatCode>
                <c:ptCount val="9"/>
                <c:pt idx="0">
                  <c:v>6.049999999842538</c:v>
                </c:pt>
                <c:pt idx="1">
                  <c:v>9.677777777619148</c:v>
                </c:pt>
                <c:pt idx="2">
                  <c:v>7.244444445014952</c:v>
                </c:pt>
                <c:pt idx="3">
                  <c:v>5.53148148218384</c:v>
                </c:pt>
                <c:pt idx="4">
                  <c:v>7.18333333487428</c:v>
                </c:pt>
                <c:pt idx="5">
                  <c:v>6.950000001837065</c:v>
                </c:pt>
                <c:pt idx="6">
                  <c:v>6.972222222639352</c:v>
                </c:pt>
                <c:pt idx="7">
                  <c:v>6.07222222206855</c:v>
                </c:pt>
                <c:pt idx="8">
                  <c:v>6.235596707908082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322440"/>
        <c:axId val="2119327464"/>
      </c:lineChart>
      <c:catAx>
        <c:axId val="2119322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327464"/>
        <c:crossesAt val="2.0"/>
        <c:auto val="1"/>
        <c:lblAlgn val="ctr"/>
        <c:lblOffset val="100"/>
        <c:tickLblSkip val="1"/>
        <c:tickMarkSkip val="1"/>
        <c:noMultiLvlLbl val="0"/>
      </c:catAx>
      <c:valAx>
        <c:axId val="2119327464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322440"/>
        <c:crosses val="autoZero"/>
        <c:crossBetween val="between"/>
        <c:majorUnit val="1.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0776053215077605"/>
          <c:y val="0.0407766990291262"/>
          <c:w val="0.119734070103765"/>
          <c:h val="0.9184491501669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1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CCFFFF" mc:Ignorable="a14" a14:legacySpreadsheetColorIndex="41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vert="horz"/>
          <a:lstStyle/>
          <a:p>
            <a:pPr algn="ctr">
              <a:defRPr sz="1575" b="1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Statistik</a:t>
            </a:r>
          </a:p>
        </c:rich>
      </c:tx>
      <c:layout>
        <c:manualLayout>
          <c:xMode val="edge"/>
          <c:yMode val="edge"/>
          <c:x val="0.0121816168327796"/>
          <c:y val="0.013592233009708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6113136456102"/>
          <c:y val="0.0466020743004996"/>
          <c:w val="0.816169210454313"/>
          <c:h val="0.770875979054097"/>
        </c:manualLayout>
      </c:layout>
      <c:stockChart>
        <c:ser>
          <c:idx val="0"/>
          <c:order val="0"/>
          <c:tx>
            <c:strRef>
              <c:f>'(intern)'!$AP$23</c:f>
              <c:strCache>
                <c:ptCount val="1"/>
                <c:pt idx="0">
                  <c:v>+1σ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'(intern)'!$AO$24:$AO$32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'(intern)'!$AP$24:$AP$32</c:f>
              <c:numCache>
                <c:formatCode>0.0</c:formatCode>
                <c:ptCount val="9"/>
                <c:pt idx="0">
                  <c:v>6.050000032654154</c:v>
                </c:pt>
                <c:pt idx="1">
                  <c:v>9.677777871940731</c:v>
                </c:pt>
                <c:pt idx="2">
                  <c:v>7.24444457371435</c:v>
                </c:pt>
                <c:pt idx="3">
                  <c:v>5.531481583144378</c:v>
                </c:pt>
                <c:pt idx="4">
                  <c:v>7.18333355551195</c:v>
                </c:pt>
                <c:pt idx="5">
                  <c:v>6.950000384893908</c:v>
                </c:pt>
                <c:pt idx="6">
                  <c:v>6.972222509758652</c:v>
                </c:pt>
                <c:pt idx="7">
                  <c:v>6.072222268834442</c:v>
                </c:pt>
                <c:pt idx="8">
                  <c:v>6.235596721320511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'(intern)'!$AQ$23</c:f>
              <c:strCache>
                <c:ptCount val="1"/>
                <c:pt idx="0">
                  <c:v>- 1σ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'(intern)'!$AO$24:$AO$32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'(intern)'!$AQ$24:$AQ$32</c:f>
              <c:numCache>
                <c:formatCode>0.0</c:formatCode>
                <c:ptCount val="9"/>
                <c:pt idx="0">
                  <c:v>6.049999967009096</c:v>
                </c:pt>
                <c:pt idx="1">
                  <c:v>9.677777697856731</c:v>
                </c:pt>
                <c:pt idx="2">
                  <c:v>7.244444361049439</c:v>
                </c:pt>
                <c:pt idx="3">
                  <c:v>5.531481404407504</c:v>
                </c:pt>
                <c:pt idx="4">
                  <c:v>7.183333166395604</c:v>
                </c:pt>
                <c:pt idx="5">
                  <c:v>6.949999619034904</c:v>
                </c:pt>
                <c:pt idx="6">
                  <c:v>6.97222187451929</c:v>
                </c:pt>
                <c:pt idx="7">
                  <c:v>6.072222155232263</c:v>
                </c:pt>
                <c:pt idx="8">
                  <c:v>6.235596696870702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'(intern)'!$AR$23</c:f>
              <c:strCache>
                <c:ptCount val="1"/>
                <c:pt idx="0">
                  <c:v>MW</c:v>
                </c:pt>
              </c:strCache>
            </c:strRef>
          </c:tx>
          <c:spPr>
            <a:ln w="25400">
              <a:solidFill>
                <a:srgbClr val="80808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'(intern)'!$AO$24:$AO$32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'(intern)'!$AR$24:$AR$32</c:f>
              <c:numCache>
                <c:formatCode>0.0</c:formatCode>
                <c:ptCount val="9"/>
                <c:pt idx="0">
                  <c:v>6.049999999831625</c:v>
                </c:pt>
                <c:pt idx="1">
                  <c:v>9.677777784898732</c:v>
                </c:pt>
                <c:pt idx="2">
                  <c:v>7.244444467381895</c:v>
                </c:pt>
                <c:pt idx="3">
                  <c:v>5.531481493775941</c:v>
                </c:pt>
                <c:pt idx="4">
                  <c:v>7.183333360953777</c:v>
                </c:pt>
                <c:pt idx="5">
                  <c:v>6.950000001964406</c:v>
                </c:pt>
                <c:pt idx="6">
                  <c:v>6.97222219213897</c:v>
                </c:pt>
                <c:pt idx="7">
                  <c:v>6.072222212033352</c:v>
                </c:pt>
                <c:pt idx="8">
                  <c:v>6.235596709095606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axId val="2119359160"/>
        <c:axId val="2119362376"/>
      </c:stockChart>
      <c:catAx>
        <c:axId val="211935916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362376"/>
        <c:crossesAt val="2.0"/>
        <c:auto val="1"/>
        <c:lblAlgn val="ctr"/>
        <c:lblOffset val="100"/>
        <c:tickMarkSkip val="1"/>
        <c:noMultiLvlLbl val="0"/>
      </c:catAx>
      <c:valAx>
        <c:axId val="2119362376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93300"/>
              </a:solidFill>
              <a:prstDash val="solid"/>
            </a:ln>
          </c:spPr>
        </c:majorGridlines>
        <c:numFmt formatCode="0.0" sourceLinked="1"/>
        <c:majorTickMark val="cross"/>
        <c:minorTickMark val="none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359160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9933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99330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1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CCFFFF" mc:Ignorable="a14" a14:legacySpreadsheetColorIndex="41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265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Verlauf</a:t>
            </a:r>
          </a:p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105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[mmol/L]</a:t>
            </a:r>
            <a:endParaRPr lang="de-DE"/>
          </a:p>
        </c:rich>
      </c:tx>
      <c:layout>
        <c:manualLayout>
          <c:xMode val="edge"/>
          <c:yMode val="edge"/>
          <c:x val="0.00374131480491716"/>
          <c:y val="0.010802469135802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2567507163292"/>
          <c:y val="0.0293210318423151"/>
          <c:w val="0.852265640109307"/>
          <c:h val="0.521605724352763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'(intern)'!$A$4</c:f>
              <c:strCache>
                <c:ptCount val="1"/>
                <c:pt idx="0">
                  <c:v>07:00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9"/>
            <c:spPr>
              <a:solidFill>
                <a:srgbClr val="92D050"/>
              </a:solidFill>
              <a:ln>
                <a:solidFill>
                  <a:srgbClr val="92D050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'(intern)'!$BF$4:$BR$4</c:f>
              <c:numCache>
                <c:formatCode>0.0</c:formatCode>
                <c:ptCount val="13"/>
                <c:pt idx="0">
                  <c:v>6.277777777777778</c:v>
                </c:pt>
                <c:pt idx="1">
                  <c:v>6.222222222222222</c:v>
                </c:pt>
                <c:pt idx="2">
                  <c:v>6.2</c:v>
                </c:pt>
                <c:pt idx="3">
                  <c:v>6.1</c:v>
                </c:pt>
                <c:pt idx="4">
                  <c:v>6.0</c:v>
                </c:pt>
                <c:pt idx="5">
                  <c:v>6.2</c:v>
                </c:pt>
                <c:pt idx="6">
                  <c:v>6.0</c:v>
                </c:pt>
                <c:pt idx="7">
                  <c:v>6.2</c:v>
                </c:pt>
                <c:pt idx="8">
                  <c:v>6.2</c:v>
                </c:pt>
                <c:pt idx="9">
                  <c:v>5.9</c:v>
                </c:pt>
                <c:pt idx="10">
                  <c:v>5.985993265993272</c:v>
                </c:pt>
                <c:pt idx="11">
                  <c:v>5.941683501683485</c:v>
                </c:pt>
                <c:pt idx="12">
                  <c:v>5.897373737373698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'(intern)'!$A$5</c:f>
              <c:strCache>
                <c:ptCount val="1"/>
                <c:pt idx="0">
                  <c:v>09:30</c:v>
                </c:pt>
              </c:strCache>
            </c:strRef>
          </c:tx>
          <c:spPr>
            <a:ln>
              <a:noFill/>
            </a:ln>
          </c:spPr>
          <c:marker>
            <c:symbol val="diamond"/>
            <c:size val="9"/>
            <c:spPr>
              <a:solidFill>
                <a:srgbClr val="FF99CC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'(intern)'!$BF$5:$BR$5</c:f>
              <c:numCache>
                <c:formatCode>0.0</c:formatCode>
                <c:ptCount val="13"/>
                <c:pt idx="0">
                  <c:v>12.11111111111111</c:v>
                </c:pt>
                <c:pt idx="1">
                  <c:v>9.88888888888889</c:v>
                </c:pt>
                <c:pt idx="2">
                  <c:v>8.2</c:v>
                </c:pt>
                <c:pt idx="3">
                  <c:v>9.1</c:v>
                </c:pt>
                <c:pt idx="4">
                  <c:v>8.649999999999998</c:v>
                </c:pt>
                <c:pt idx="5">
                  <c:v>10.3</c:v>
                </c:pt>
                <c:pt idx="6">
                  <c:v>10.5</c:v>
                </c:pt>
                <c:pt idx="7">
                  <c:v>9.6</c:v>
                </c:pt>
                <c:pt idx="8">
                  <c:v>10.05</c:v>
                </c:pt>
                <c:pt idx="9">
                  <c:v>9.4</c:v>
                </c:pt>
                <c:pt idx="10">
                  <c:v>9.36942760942759</c:v>
                </c:pt>
                <c:pt idx="11">
                  <c:v>9.243097643097599</c:v>
                </c:pt>
                <c:pt idx="12">
                  <c:v>9.116767676767722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'(intern)'!$A$6</c:f>
              <c:strCache>
                <c:ptCount val="1"/>
                <c:pt idx="0">
                  <c:v>12:00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8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'(intern)'!$BF$6:$BR$6</c:f>
              <c:numCache>
                <c:formatCode>0.0</c:formatCode>
                <c:ptCount val="13"/>
                <c:pt idx="0">
                  <c:v>8.055555555555555</c:v>
                </c:pt>
                <c:pt idx="1">
                  <c:v>6.777777777777778</c:v>
                </c:pt>
                <c:pt idx="2">
                  <c:v>4.8</c:v>
                </c:pt>
                <c:pt idx="3">
                  <c:v>6.8</c:v>
                </c:pt>
                <c:pt idx="4">
                  <c:v>10.3</c:v>
                </c:pt>
                <c:pt idx="5">
                  <c:v>8.2</c:v>
                </c:pt>
                <c:pt idx="6">
                  <c:v>8.7</c:v>
                </c:pt>
                <c:pt idx="7">
                  <c:v>6.0</c:v>
                </c:pt>
                <c:pt idx="8">
                  <c:v>7.35</c:v>
                </c:pt>
                <c:pt idx="9">
                  <c:v>7.4</c:v>
                </c:pt>
                <c:pt idx="10">
                  <c:v>7.741885521885479</c:v>
                </c:pt>
                <c:pt idx="11">
                  <c:v>7.835286195286244</c:v>
                </c:pt>
                <c:pt idx="12">
                  <c:v>7.928686868686896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'(intern)'!$A$7</c:f>
              <c:strCache>
                <c:ptCount val="1"/>
                <c:pt idx="0">
                  <c:v>14:30</c:v>
                </c:pt>
              </c:strCache>
            </c:strRef>
          </c:tx>
          <c:spPr>
            <a:ln>
              <a:noFill/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'(intern)'!$BF$7:$BR$7</c:f>
              <c:numCache>
                <c:formatCode>0.0</c:formatCode>
                <c:ptCount val="13"/>
                <c:pt idx="0">
                  <c:v>7.055555555555555</c:v>
                </c:pt>
                <c:pt idx="1">
                  <c:v>8.722222222222221</c:v>
                </c:pt>
                <c:pt idx="2">
                  <c:v>10.6</c:v>
                </c:pt>
                <c:pt idx="3">
                  <c:v>6.2</c:v>
                </c:pt>
                <c:pt idx="4">
                  <c:v>6.8</c:v>
                </c:pt>
                <c:pt idx="5">
                  <c:v>5.4</c:v>
                </c:pt>
                <c:pt idx="6">
                  <c:v>6.1</c:v>
                </c:pt>
                <c:pt idx="7">
                  <c:v>4.5</c:v>
                </c:pt>
                <c:pt idx="8">
                  <c:v>5.3</c:v>
                </c:pt>
                <c:pt idx="9">
                  <c:v>6.0</c:v>
                </c:pt>
                <c:pt idx="10">
                  <c:v>4.081346801346626</c:v>
                </c:pt>
                <c:pt idx="11">
                  <c:v>3.28552188552203</c:v>
                </c:pt>
                <c:pt idx="12">
                  <c:v>2.489696969696524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'(intern)'!$A$8</c:f>
              <c:strCache>
                <c:ptCount val="1"/>
                <c:pt idx="0">
                  <c:v>17:30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'(intern)'!$BF$8:$BR$8</c:f>
              <c:numCache>
                <c:formatCode>0.0</c:formatCode>
                <c:ptCount val="13"/>
                <c:pt idx="0">
                  <c:v>6.0</c:v>
                </c:pt>
                <c:pt idx="1">
                  <c:v>9.166666666666666</c:v>
                </c:pt>
                <c:pt idx="2">
                  <c:v>6.9</c:v>
                </c:pt>
                <c:pt idx="3">
                  <c:v>8.2</c:v>
                </c:pt>
                <c:pt idx="4">
                  <c:v>6.4</c:v>
                </c:pt>
                <c:pt idx="5">
                  <c:v>5.0</c:v>
                </c:pt>
                <c:pt idx="6">
                  <c:v>9.2</c:v>
                </c:pt>
                <c:pt idx="7">
                  <c:v>4.9</c:v>
                </c:pt>
                <c:pt idx="8">
                  <c:v>6.8</c:v>
                </c:pt>
                <c:pt idx="9">
                  <c:v>8.2</c:v>
                </c:pt>
                <c:pt idx="10">
                  <c:v>6.873131313131296</c:v>
                </c:pt>
                <c:pt idx="11">
                  <c:v>6.810505050505014</c:v>
                </c:pt>
                <c:pt idx="12">
                  <c:v>6.74787878787879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'(intern)'!$A$9</c:f>
              <c:strCache>
                <c:ptCount val="1"/>
                <c:pt idx="0">
                  <c:v>20:00</c:v>
                </c:pt>
              </c:strCache>
            </c:strRef>
          </c:tx>
          <c:spPr>
            <a:ln>
              <a:noFill/>
            </a:ln>
          </c:spPr>
          <c:marker>
            <c:symbol val="diamond"/>
            <c:size val="7"/>
            <c:spPr>
              <a:solidFill>
                <a:srgbClr val="A50021"/>
              </a:solidFill>
              <a:ln>
                <a:solidFill>
                  <a:srgbClr val="A50021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'(intern)'!$BF$9:$BR$9</c:f>
              <c:numCache>
                <c:formatCode>0.0</c:formatCode>
                <c:ptCount val="13"/>
                <c:pt idx="0">
                  <c:v>5.944444444444444</c:v>
                </c:pt>
                <c:pt idx="1">
                  <c:v>10.72222222222222</c:v>
                </c:pt>
                <c:pt idx="2">
                  <c:v>7.7</c:v>
                </c:pt>
                <c:pt idx="3">
                  <c:v>10.7</c:v>
                </c:pt>
                <c:pt idx="4">
                  <c:v>7.0</c:v>
                </c:pt>
                <c:pt idx="5">
                  <c:v>11.9</c:v>
                </c:pt>
                <c:pt idx="6">
                  <c:v>10.8</c:v>
                </c:pt>
                <c:pt idx="7">
                  <c:v>5.2</c:v>
                </c:pt>
                <c:pt idx="8">
                  <c:v>5.2</c:v>
                </c:pt>
                <c:pt idx="9">
                  <c:v>8.7</c:v>
                </c:pt>
                <c:pt idx="10">
                  <c:v>7.553265993265995</c:v>
                </c:pt>
                <c:pt idx="11">
                  <c:v>7.296835016835075</c:v>
                </c:pt>
                <c:pt idx="12">
                  <c:v>7.040404040404155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'(intern)'!$A$10</c:f>
              <c:strCache>
                <c:ptCount val="1"/>
                <c:pt idx="0">
                  <c:v>23:00</c:v>
                </c:pt>
              </c:strCache>
            </c:strRef>
          </c:tx>
          <c:spPr>
            <a:ln w="3175">
              <a:noFill/>
              <a:prstDash val="solid"/>
            </a:ln>
          </c:spPr>
          <c:marker>
            <c:symbol val="circle"/>
            <c:size val="6"/>
            <c:spPr>
              <a:solidFill>
                <a:srgbClr val="660066"/>
              </a:solidFill>
              <a:ln>
                <a:solidFill>
                  <a:srgbClr val="660066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'(intern)'!$BF$10:$BR$10</c:f>
              <c:numCache>
                <c:formatCode>0.0</c:formatCode>
                <c:ptCount val="13"/>
                <c:pt idx="0">
                  <c:v>10.0</c:v>
                </c:pt>
                <c:pt idx="1">
                  <c:v>7.222222222222222</c:v>
                </c:pt>
                <c:pt idx="2">
                  <c:v>7.4</c:v>
                </c:pt>
                <c:pt idx="3">
                  <c:v>9.0</c:v>
                </c:pt>
                <c:pt idx="4">
                  <c:v>7.6</c:v>
                </c:pt>
                <c:pt idx="5">
                  <c:v>5.3</c:v>
                </c:pt>
                <c:pt idx="6">
                  <c:v>9.7</c:v>
                </c:pt>
                <c:pt idx="7">
                  <c:v>7.5</c:v>
                </c:pt>
                <c:pt idx="8">
                  <c:v>5.3</c:v>
                </c:pt>
                <c:pt idx="9">
                  <c:v>7.9</c:v>
                </c:pt>
                <c:pt idx="10">
                  <c:v>6.429427609427875</c:v>
                </c:pt>
                <c:pt idx="11">
                  <c:v>6.040875420875636</c:v>
                </c:pt>
                <c:pt idx="12">
                  <c:v>5.652323232323397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'(intern)'!$A$11</c:f>
              <c:strCache>
                <c:ptCount val="1"/>
                <c:pt idx="0">
                  <c:v>Nacht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ysDot"/>
            </a:ln>
          </c:spPr>
          <c:marker>
            <c:symbol val="circle"/>
            <c:size val="6"/>
            <c:spPr>
              <a:noFill/>
              <a:ln>
                <a:solidFill>
                  <a:srgbClr val="000080"/>
                </a:solidFill>
                <a:prstDash val="solid"/>
              </a:ln>
            </c:spPr>
          </c:marker>
          <c:dPt>
            <c:idx val="3"/>
            <c:marker>
              <c:symbol val="circle"/>
              <c:size val="5"/>
              <c:spPr>
                <a:solidFill>
                  <a:srgbClr val="993366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bubble3D val="0"/>
          </c:dPt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'(intern)'!$BF$11:$BR$11</c:f>
              <c:numCache>
                <c:formatCode>0.0</c:formatCode>
                <c:ptCount val="13"/>
                <c:pt idx="0">
                  <c:v>5.277777777777778</c:v>
                </c:pt>
                <c:pt idx="1">
                  <c:v>5.555555555555555</c:v>
                </c:pt>
                <c:pt idx="2">
                  <c:v>5.9</c:v>
                </c:pt>
                <c:pt idx="3">
                  <c:v>5.8</c:v>
                </c:pt>
                <c:pt idx="4">
                  <c:v>6.5</c:v>
                </c:pt>
                <c:pt idx="5">
                  <c:v>6.6</c:v>
                </c:pt>
                <c:pt idx="6">
                  <c:v>6.5</c:v>
                </c:pt>
                <c:pt idx="7">
                  <c:v>6.55</c:v>
                </c:pt>
                <c:pt idx="8">
                  <c:v>5.8</c:v>
                </c:pt>
                <c:pt idx="9">
                  <c:v>6.1</c:v>
                </c:pt>
                <c:pt idx="10">
                  <c:v>6.631952861952868</c:v>
                </c:pt>
                <c:pt idx="11">
                  <c:v>6.808451178451151</c:v>
                </c:pt>
                <c:pt idx="12">
                  <c:v>6.984949494949432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'(intern)'!$A$12</c:f>
              <c:strCache>
                <c:ptCount val="1"/>
                <c:pt idx="0">
                  <c:v>Früh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ysDot"/>
            </a:ln>
          </c:spPr>
          <c:marker>
            <c:symbol val="triangle"/>
            <c:size val="7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'(intern)'!$BF$12:$BR$12</c:f>
              <c:numCache>
                <c:formatCode>0.0</c:formatCode>
                <c:ptCount val="13"/>
                <c:pt idx="0">
                  <c:v>6.277777777777778</c:v>
                </c:pt>
                <c:pt idx="1">
                  <c:v>6.222222222222222</c:v>
                </c:pt>
                <c:pt idx="2">
                  <c:v>6.25</c:v>
                </c:pt>
                <c:pt idx="3">
                  <c:v>6.23611111111111</c:v>
                </c:pt>
                <c:pt idx="4">
                  <c:v>6.0</c:v>
                </c:pt>
                <c:pt idx="5">
                  <c:v>6.2</c:v>
                </c:pt>
                <c:pt idx="6">
                  <c:v>6.1</c:v>
                </c:pt>
                <c:pt idx="7">
                  <c:v>6.15</c:v>
                </c:pt>
                <c:pt idx="8">
                  <c:v>6.2</c:v>
                </c:pt>
                <c:pt idx="9">
                  <c:v>6.3</c:v>
                </c:pt>
                <c:pt idx="10">
                  <c:v>6.167457912457913</c:v>
                </c:pt>
                <c:pt idx="11">
                  <c:v>6.15941077441078</c:v>
                </c:pt>
                <c:pt idx="12">
                  <c:v>6.15136363636364</c:v>
                </c:pt>
              </c:numCache>
            </c:numRef>
          </c:val>
          <c:smooth val="1"/>
        </c:ser>
        <c:ser>
          <c:idx val="9"/>
          <c:order val="9"/>
          <c:tx>
            <c:v>Tages-MW</c:v>
          </c:tx>
          <c:spPr>
            <a:ln w="254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strRef>
              <c:f>'(intern)'!$BF$3:$BR$3</c:f>
              <c:strCache>
                <c:ptCount val="13"/>
                <c:pt idx="0">
                  <c:v>SO</c:v>
                </c:pt>
                <c:pt idx="1">
                  <c:v>MI</c:v>
                </c:pt>
                <c:pt idx="2">
                  <c:v>SO</c:v>
                </c:pt>
                <c:pt idx="3">
                  <c:v>MI</c:v>
                </c:pt>
                <c:pt idx="4">
                  <c:v>SO</c:v>
                </c:pt>
                <c:pt idx="5">
                  <c:v>MI</c:v>
                </c:pt>
                <c:pt idx="6">
                  <c:v>SO</c:v>
                </c:pt>
                <c:pt idx="7">
                  <c:v>MI</c:v>
                </c:pt>
                <c:pt idx="8">
                  <c:v>SO</c:v>
                </c:pt>
                <c:pt idx="9">
                  <c:v>MI</c:v>
                </c:pt>
                <c:pt idx="10">
                  <c:v>MI</c:v>
                </c:pt>
                <c:pt idx="11">
                  <c:v>MI</c:v>
                </c:pt>
                <c:pt idx="12">
                  <c:v>MI</c:v>
                </c:pt>
              </c:strCache>
            </c:strRef>
          </c:cat>
          <c:val>
            <c:numRef>
              <c:f>'(intern)'!$BF$13:$BR$13</c:f>
              <c:numCache>
                <c:formatCode>0.0</c:formatCode>
                <c:ptCount val="13"/>
                <c:pt idx="0">
                  <c:v>7.444444444444444</c:v>
                </c:pt>
                <c:pt idx="1">
                  <c:v>7.833333333333332</c:v>
                </c:pt>
                <c:pt idx="2">
                  <c:v>7.105555555555555</c:v>
                </c:pt>
                <c:pt idx="3">
                  <c:v>7.570679012345678</c:v>
                </c:pt>
                <c:pt idx="4">
                  <c:v>7.25</c:v>
                </c:pt>
                <c:pt idx="5">
                  <c:v>7.233333333333332</c:v>
                </c:pt>
                <c:pt idx="6">
                  <c:v>8.177777777777777</c:v>
                </c:pt>
                <c:pt idx="7">
                  <c:v>6.288888888888889</c:v>
                </c:pt>
                <c:pt idx="8">
                  <c:v>6.466666666666666</c:v>
                </c:pt>
                <c:pt idx="9">
                  <c:v>7.322222222222223</c:v>
                </c:pt>
                <c:pt idx="10">
                  <c:v>6.759320987654323</c:v>
                </c:pt>
                <c:pt idx="11">
                  <c:v>6.602407407407446</c:v>
                </c:pt>
                <c:pt idx="12">
                  <c:v>6.445493827160472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480296"/>
        <c:axId val="2119483816"/>
      </c:lineChart>
      <c:catAx>
        <c:axId val="2119480296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483816"/>
        <c:crossesAt val="2.0"/>
        <c:auto val="1"/>
        <c:lblAlgn val="ctr"/>
        <c:lblOffset val="100"/>
        <c:noMultiLvlLbl val="0"/>
      </c:catAx>
      <c:valAx>
        <c:axId val="2119483816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480296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99" mc:Ignorable="a14" a14:legacySpreadsheetColorIndex="43"/>
        </a:gs>
        <a:gs pos="100000">
          <a:srgbClr xmlns:mc="http://schemas.openxmlformats.org/markup-compatibility/2006" xmlns:a14="http://schemas.microsoft.com/office/drawing/2010/main" val="FFFFFF" mc:Ignorable="a14" a14:legacySpreadsheetColorIndex="43">
            <a:gamma/>
            <a:tint val="0"/>
            <a:invGamma/>
          </a:srgbClr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16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Tagesprofile </a:t>
            </a:r>
            <a:r>
              <a:rPr lang="de-DE" sz="85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[mmol/L]</a:t>
            </a:r>
            <a:endParaRPr lang="de-DE"/>
          </a:p>
        </c:rich>
      </c:tx>
      <c:layout>
        <c:manualLayout>
          <c:xMode val="edge"/>
          <c:yMode val="edge"/>
          <c:x val="0.180578170864648"/>
          <c:y val="0.0379629921316624"/>
        </c:manualLayout>
      </c:layout>
      <c:overlay val="0"/>
      <c:spPr>
        <a:solidFill>
          <a:srgbClr val="FFFF00"/>
        </a:solidFill>
        <a:ln w="25400">
          <a:solidFill>
            <a:srgbClr val="FF0000"/>
          </a:solidFill>
        </a:ln>
      </c:spPr>
    </c:title>
    <c:autoTitleDeleted val="0"/>
    <c:plotArea>
      <c:layout>
        <c:manualLayout>
          <c:layoutTarget val="inner"/>
          <c:xMode val="edge"/>
          <c:yMode val="edge"/>
          <c:x val="0.170350672197166"/>
          <c:y val="0.16957902594212"/>
          <c:w val="0.821717280284127"/>
          <c:h val="0.767330477387307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'(intern)'!$BF$41</c:f>
              <c:strCache>
                <c:ptCount val="1"/>
                <c:pt idx="0">
                  <c:v>01.01.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'(intern)'!$BF$4:$BF$12</c:f>
              <c:numCache>
                <c:formatCode>0.0</c:formatCode>
                <c:ptCount val="9"/>
                <c:pt idx="0">
                  <c:v>6.277777777777778</c:v>
                </c:pt>
                <c:pt idx="1">
                  <c:v>12.11111111111111</c:v>
                </c:pt>
                <c:pt idx="2">
                  <c:v>8.055555555555555</c:v>
                </c:pt>
                <c:pt idx="3">
                  <c:v>7.055555555555555</c:v>
                </c:pt>
                <c:pt idx="4">
                  <c:v>6.0</c:v>
                </c:pt>
                <c:pt idx="5">
                  <c:v>5.944444444444444</c:v>
                </c:pt>
                <c:pt idx="6">
                  <c:v>10.0</c:v>
                </c:pt>
                <c:pt idx="7">
                  <c:v>5.277777777777778</c:v>
                </c:pt>
                <c:pt idx="8">
                  <c:v>6.277777777777778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'(intern)'!$BG$41</c:f>
              <c:strCache>
                <c:ptCount val="1"/>
                <c:pt idx="0">
                  <c:v>04.01.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'(intern)'!$BG$4:$BG$12</c:f>
              <c:numCache>
                <c:formatCode>0.0</c:formatCode>
                <c:ptCount val="9"/>
                <c:pt idx="0">
                  <c:v>6.222222222222222</c:v>
                </c:pt>
                <c:pt idx="1">
                  <c:v>9.88888888888889</c:v>
                </c:pt>
                <c:pt idx="2">
                  <c:v>6.777777777777778</c:v>
                </c:pt>
                <c:pt idx="3">
                  <c:v>8.722222222222221</c:v>
                </c:pt>
                <c:pt idx="4">
                  <c:v>9.166666666666666</c:v>
                </c:pt>
                <c:pt idx="5">
                  <c:v>10.72222222222222</c:v>
                </c:pt>
                <c:pt idx="6">
                  <c:v>7.222222222222222</c:v>
                </c:pt>
                <c:pt idx="7">
                  <c:v>5.555555555555555</c:v>
                </c:pt>
                <c:pt idx="8">
                  <c:v>6.222222222222222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'(intern)'!$BH$41</c:f>
              <c:strCache>
                <c:ptCount val="1"/>
                <c:pt idx="0">
                  <c:v>08.01.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'(intern)'!$BH$4:$BH$12</c:f>
              <c:numCache>
                <c:formatCode>0.0</c:formatCode>
                <c:ptCount val="9"/>
                <c:pt idx="0">
                  <c:v>6.2</c:v>
                </c:pt>
                <c:pt idx="1">
                  <c:v>8.2</c:v>
                </c:pt>
                <c:pt idx="2">
                  <c:v>4.8</c:v>
                </c:pt>
                <c:pt idx="3">
                  <c:v>10.6</c:v>
                </c:pt>
                <c:pt idx="4">
                  <c:v>6.9</c:v>
                </c:pt>
                <c:pt idx="5">
                  <c:v>7.7</c:v>
                </c:pt>
                <c:pt idx="6">
                  <c:v>7.4</c:v>
                </c:pt>
                <c:pt idx="7">
                  <c:v>5.9</c:v>
                </c:pt>
                <c:pt idx="8">
                  <c:v>6.25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'(intern)'!$BI$41</c:f>
              <c:strCache>
                <c:ptCount val="1"/>
                <c:pt idx="0">
                  <c:v>11.01.</c:v>
                </c:pt>
              </c:strCache>
            </c:strRef>
          </c:tx>
          <c:spPr>
            <a:ln w="19050">
              <a:solidFill>
                <a:srgbClr val="FFCC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dPt>
            <c:idx val="1"/>
            <c:bubble3D val="0"/>
          </c:dPt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'(intern)'!$BI$4:$BI$12</c:f>
              <c:numCache>
                <c:formatCode>0.0</c:formatCode>
                <c:ptCount val="9"/>
                <c:pt idx="0">
                  <c:v>6.1</c:v>
                </c:pt>
                <c:pt idx="1">
                  <c:v>9.1</c:v>
                </c:pt>
                <c:pt idx="2">
                  <c:v>6.8</c:v>
                </c:pt>
                <c:pt idx="3">
                  <c:v>6.2</c:v>
                </c:pt>
                <c:pt idx="4">
                  <c:v>8.2</c:v>
                </c:pt>
                <c:pt idx="5">
                  <c:v>10.7</c:v>
                </c:pt>
                <c:pt idx="6">
                  <c:v>9.0</c:v>
                </c:pt>
                <c:pt idx="7">
                  <c:v>5.8</c:v>
                </c:pt>
                <c:pt idx="8">
                  <c:v>6.23611111111111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'(intern)'!$BJ$41</c:f>
              <c:strCache>
                <c:ptCount val="1"/>
                <c:pt idx="0">
                  <c:v>15.01.</c:v>
                </c:pt>
              </c:strCache>
            </c:strRef>
          </c:tx>
          <c:spPr>
            <a:ln w="12700" cmpd="sng">
              <a:solidFill>
                <a:srgbClr val="99CC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'(intern)'!$BJ$4:$BJ$12</c:f>
              <c:numCache>
                <c:formatCode>0.0</c:formatCode>
                <c:ptCount val="9"/>
                <c:pt idx="0">
                  <c:v>6.0</c:v>
                </c:pt>
                <c:pt idx="1">
                  <c:v>8.649999999999998</c:v>
                </c:pt>
                <c:pt idx="2">
                  <c:v>10.3</c:v>
                </c:pt>
                <c:pt idx="3">
                  <c:v>6.8</c:v>
                </c:pt>
                <c:pt idx="4">
                  <c:v>6.4</c:v>
                </c:pt>
                <c:pt idx="5">
                  <c:v>7.0</c:v>
                </c:pt>
                <c:pt idx="6">
                  <c:v>7.6</c:v>
                </c:pt>
                <c:pt idx="7">
                  <c:v>6.5</c:v>
                </c:pt>
                <c:pt idx="8">
                  <c:v>6.0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'(intern)'!$BK$41</c:f>
              <c:strCache>
                <c:ptCount val="1"/>
                <c:pt idx="0">
                  <c:v>18.01.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'(intern)'!$BK$4:$BK$12</c:f>
              <c:numCache>
                <c:formatCode>0.0</c:formatCode>
                <c:ptCount val="9"/>
                <c:pt idx="0">
                  <c:v>6.2</c:v>
                </c:pt>
                <c:pt idx="1">
                  <c:v>10.3</c:v>
                </c:pt>
                <c:pt idx="2">
                  <c:v>8.2</c:v>
                </c:pt>
                <c:pt idx="3">
                  <c:v>5.4</c:v>
                </c:pt>
                <c:pt idx="4">
                  <c:v>5.0</c:v>
                </c:pt>
                <c:pt idx="5">
                  <c:v>11.9</c:v>
                </c:pt>
                <c:pt idx="6">
                  <c:v>5.3</c:v>
                </c:pt>
                <c:pt idx="7">
                  <c:v>6.6</c:v>
                </c:pt>
                <c:pt idx="8">
                  <c:v>6.2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'(intern)'!$BL$41</c:f>
              <c:strCache>
                <c:ptCount val="1"/>
                <c:pt idx="0">
                  <c:v>22.01.</c:v>
                </c:pt>
              </c:strCache>
            </c:strRef>
          </c:tx>
          <c:spPr>
            <a:ln w="12700" cmpd="sng">
              <a:solidFill>
                <a:srgbClr val="008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8000"/>
              </a:solidFill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'(intern)'!$BL$4:$BL$12</c:f>
              <c:numCache>
                <c:formatCode>0.0</c:formatCode>
                <c:ptCount val="9"/>
                <c:pt idx="0">
                  <c:v>6.0</c:v>
                </c:pt>
                <c:pt idx="1">
                  <c:v>10.5</c:v>
                </c:pt>
                <c:pt idx="2">
                  <c:v>8.7</c:v>
                </c:pt>
                <c:pt idx="3">
                  <c:v>6.1</c:v>
                </c:pt>
                <c:pt idx="4">
                  <c:v>9.2</c:v>
                </c:pt>
                <c:pt idx="5">
                  <c:v>10.8</c:v>
                </c:pt>
                <c:pt idx="6">
                  <c:v>9.7</c:v>
                </c:pt>
                <c:pt idx="7">
                  <c:v>6.5</c:v>
                </c:pt>
                <c:pt idx="8">
                  <c:v>6.1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'(intern)'!$BM$41</c:f>
              <c:strCache>
                <c:ptCount val="1"/>
                <c:pt idx="0">
                  <c:v>25.01.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FF"/>
              </a:solidFill>
              <a:ln>
                <a:solidFill>
                  <a:srgbClr val="00B0F0"/>
                </a:solidFill>
              </a:ln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'(intern)'!$BM$4:$BM$12</c:f>
              <c:numCache>
                <c:formatCode>0.0</c:formatCode>
                <c:ptCount val="9"/>
                <c:pt idx="0">
                  <c:v>6.2</c:v>
                </c:pt>
                <c:pt idx="1">
                  <c:v>9.6</c:v>
                </c:pt>
                <c:pt idx="2">
                  <c:v>6.0</c:v>
                </c:pt>
                <c:pt idx="3">
                  <c:v>4.5</c:v>
                </c:pt>
                <c:pt idx="4">
                  <c:v>4.9</c:v>
                </c:pt>
                <c:pt idx="5">
                  <c:v>5.2</c:v>
                </c:pt>
                <c:pt idx="6">
                  <c:v>7.5</c:v>
                </c:pt>
                <c:pt idx="7">
                  <c:v>6.55</c:v>
                </c:pt>
                <c:pt idx="8">
                  <c:v>6.15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'(intern)'!$BN$41</c:f>
              <c:strCache>
                <c:ptCount val="1"/>
                <c:pt idx="0">
                  <c:v>29.01.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2D5AB2"/>
              </a:solidFill>
            </c:spPr>
          </c:marker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'(intern)'!$BN$4:$BN$12</c:f>
              <c:numCache>
                <c:formatCode>0.0</c:formatCode>
                <c:ptCount val="9"/>
                <c:pt idx="0">
                  <c:v>6.2</c:v>
                </c:pt>
                <c:pt idx="1">
                  <c:v>10.05</c:v>
                </c:pt>
                <c:pt idx="2">
                  <c:v>7.35</c:v>
                </c:pt>
                <c:pt idx="3">
                  <c:v>5.3</c:v>
                </c:pt>
                <c:pt idx="4">
                  <c:v>6.8</c:v>
                </c:pt>
                <c:pt idx="5">
                  <c:v>5.2</c:v>
                </c:pt>
                <c:pt idx="6">
                  <c:v>5.3</c:v>
                </c:pt>
                <c:pt idx="7">
                  <c:v>5.8</c:v>
                </c:pt>
                <c:pt idx="8">
                  <c:v>6.2</c:v>
                </c:pt>
              </c:numCache>
            </c:numRef>
          </c:val>
          <c:smooth val="1"/>
        </c:ser>
        <c:ser>
          <c:idx val="9"/>
          <c:order val="9"/>
          <c:tx>
            <c:strRef>
              <c:f>'(intern)'!$BO$41</c:f>
              <c:strCache>
                <c:ptCount val="1"/>
                <c:pt idx="0">
                  <c:v>01.02.</c:v>
                </c:pt>
              </c:strCache>
            </c:strRef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90"/>
              </a:solidFill>
            </c:spPr>
          </c:marker>
          <c:dPt>
            <c:idx val="7"/>
            <c:bubble3D val="0"/>
          </c:dPt>
          <c:cat>
            <c:strRef>
              <c:f>'(intern)'!$A$4:$A$12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'(intern)'!$BO$4:$BO$12</c:f>
              <c:numCache>
                <c:formatCode>0.0</c:formatCode>
                <c:ptCount val="9"/>
                <c:pt idx="0">
                  <c:v>5.9</c:v>
                </c:pt>
                <c:pt idx="1">
                  <c:v>9.4</c:v>
                </c:pt>
                <c:pt idx="2">
                  <c:v>7.4</c:v>
                </c:pt>
                <c:pt idx="3">
                  <c:v>6.0</c:v>
                </c:pt>
                <c:pt idx="4">
                  <c:v>8.2</c:v>
                </c:pt>
                <c:pt idx="5">
                  <c:v>8.7</c:v>
                </c:pt>
                <c:pt idx="6">
                  <c:v>7.9</c:v>
                </c:pt>
                <c:pt idx="7">
                  <c:v>6.1</c:v>
                </c:pt>
                <c:pt idx="8">
                  <c:v>6.3</c:v>
                </c:pt>
              </c:numCache>
            </c:numRef>
          </c:val>
          <c:smooth val="1"/>
        </c:ser>
        <c:ser>
          <c:idx val="10"/>
          <c:order val="10"/>
          <c:tx>
            <c:strRef>
              <c:f>'(intern)'!$BP$41</c:f>
              <c:strCache>
                <c:ptCount val="1"/>
                <c:pt idx="0">
                  <c:v>08.02.</c:v>
                </c:pt>
              </c:strCache>
            </c:strRef>
          </c:tx>
          <c:spPr>
            <a:ln w="25400">
              <a:solidFill>
                <a:schemeClr val="bg1">
                  <a:lumMod val="75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'(intern)'!$BP$4:$BP$12</c:f>
              <c:numCache>
                <c:formatCode>0.0</c:formatCode>
                <c:ptCount val="9"/>
                <c:pt idx="0">
                  <c:v>5.985993265993272</c:v>
                </c:pt>
                <c:pt idx="1">
                  <c:v>9.36942760942759</c:v>
                </c:pt>
                <c:pt idx="2">
                  <c:v>7.741885521885479</c:v>
                </c:pt>
                <c:pt idx="3">
                  <c:v>4.081346801346626</c:v>
                </c:pt>
                <c:pt idx="4">
                  <c:v>6.873131313131296</c:v>
                </c:pt>
                <c:pt idx="5">
                  <c:v>7.553265993265995</c:v>
                </c:pt>
                <c:pt idx="6">
                  <c:v>6.429427609427875</c:v>
                </c:pt>
                <c:pt idx="7">
                  <c:v>6.631952861952868</c:v>
                </c:pt>
                <c:pt idx="8">
                  <c:v>6.167457912457913</c:v>
                </c:pt>
              </c:numCache>
            </c:numRef>
          </c:val>
          <c:smooth val="1"/>
        </c:ser>
        <c:ser>
          <c:idx val="11"/>
          <c:order val="11"/>
          <c:tx>
            <c:strRef>
              <c:f>'(intern)'!$BQ$41</c:f>
              <c:strCache>
                <c:ptCount val="1"/>
                <c:pt idx="0">
                  <c:v>15.02.</c:v>
                </c:pt>
              </c:strCache>
            </c:strRef>
          </c:tx>
          <c:spPr>
            <a:ln w="25400">
              <a:solidFill>
                <a:schemeClr val="bg1">
                  <a:lumMod val="5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'(intern)'!$BQ$4:$BQ$12</c:f>
              <c:numCache>
                <c:formatCode>0.0</c:formatCode>
                <c:ptCount val="9"/>
                <c:pt idx="0">
                  <c:v>5.941683501683485</c:v>
                </c:pt>
                <c:pt idx="1">
                  <c:v>9.243097643097599</c:v>
                </c:pt>
                <c:pt idx="2">
                  <c:v>7.835286195286244</c:v>
                </c:pt>
                <c:pt idx="3">
                  <c:v>3.28552188552203</c:v>
                </c:pt>
                <c:pt idx="4">
                  <c:v>6.810505050505014</c:v>
                </c:pt>
                <c:pt idx="5">
                  <c:v>7.296835016835075</c:v>
                </c:pt>
                <c:pt idx="6">
                  <c:v>6.040875420875636</c:v>
                </c:pt>
                <c:pt idx="7">
                  <c:v>6.808451178451151</c:v>
                </c:pt>
                <c:pt idx="8">
                  <c:v>6.15941077441078</c:v>
                </c:pt>
              </c:numCache>
            </c:numRef>
          </c:val>
          <c:smooth val="1"/>
        </c:ser>
        <c:ser>
          <c:idx val="12"/>
          <c:order val="12"/>
          <c:tx>
            <c:strRef>
              <c:f>'(intern)'!$BR$41</c:f>
              <c:strCache>
                <c:ptCount val="1"/>
                <c:pt idx="0">
                  <c:v>22.02.</c:v>
                </c:pt>
              </c:strCache>
            </c:strRef>
          </c:tx>
          <c:spPr>
            <a:ln w="25400">
              <a:solidFill>
                <a:schemeClr val="tx1">
                  <a:lumMod val="65000"/>
                  <a:lumOff val="35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'(intern)'!$BR$4:$BR$12</c:f>
              <c:numCache>
                <c:formatCode>0.0</c:formatCode>
                <c:ptCount val="9"/>
                <c:pt idx="0">
                  <c:v>5.897373737373698</c:v>
                </c:pt>
                <c:pt idx="1">
                  <c:v>9.116767676767722</c:v>
                </c:pt>
                <c:pt idx="2">
                  <c:v>7.928686868686896</c:v>
                </c:pt>
                <c:pt idx="3">
                  <c:v>2.489696969696524</c:v>
                </c:pt>
                <c:pt idx="4">
                  <c:v>6.74787878787879</c:v>
                </c:pt>
                <c:pt idx="5">
                  <c:v>7.040404040404155</c:v>
                </c:pt>
                <c:pt idx="6">
                  <c:v>5.652323232323397</c:v>
                </c:pt>
                <c:pt idx="7">
                  <c:v>6.984949494949432</c:v>
                </c:pt>
                <c:pt idx="8">
                  <c:v>6.15136363636364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582824"/>
        <c:axId val="2119586216"/>
      </c:lineChart>
      <c:catAx>
        <c:axId val="2119582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586216"/>
        <c:crossesAt val="2.0"/>
        <c:auto val="1"/>
        <c:lblAlgn val="ctr"/>
        <c:lblOffset val="100"/>
        <c:tickLblSkip val="1"/>
        <c:tickMarkSkip val="1"/>
        <c:noMultiLvlLbl val="0"/>
      </c:catAx>
      <c:valAx>
        <c:axId val="2119586216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582824"/>
        <c:crosses val="autoZero"/>
        <c:crossBetween val="between"/>
        <c:majorUnit val="1.5"/>
      </c:valAx>
      <c:spPr>
        <a:solidFill>
          <a:srgbClr val="FFFFFF"/>
        </a:solidFill>
        <a:ln w="254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0586011760804583"/>
          <c:y val="0.117391481401943"/>
          <c:w val="0.0932016904070112"/>
          <c:h val="0.558893095435267"/>
        </c:manualLayout>
      </c:layout>
      <c:overlay val="0"/>
      <c:spPr>
        <a:solidFill>
          <a:srgbClr val="FFFFFF"/>
        </a:solidFill>
        <a:ln w="12700">
          <a:solidFill>
            <a:srgbClr val="000000"/>
          </a:solidFill>
          <a:prstDash val="sysDot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3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FF99" mc:Ignorable="a14" a14:legacySpreadsheetColorIndex="43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vert="horz"/>
          <a:lstStyle/>
          <a:p>
            <a:pPr algn="ctr">
              <a:defRPr sz="1575" b="1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Statistisch gemitteltes</a:t>
            </a:r>
          </a:p>
          <a:p>
            <a:pPr algn="ctr">
              <a:defRPr sz="1575" b="1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Tagesprofil (±25%)</a:t>
            </a:r>
          </a:p>
        </c:rich>
      </c:tx>
      <c:layout>
        <c:manualLayout>
          <c:xMode val="edge"/>
          <c:yMode val="edge"/>
          <c:x val="0.00755939524838013"/>
          <c:y val="0.0290135396518375"/>
        </c:manualLayout>
      </c:layout>
      <c:overlay val="0"/>
      <c:spPr>
        <a:solidFill>
          <a:srgbClr val="FFFF00"/>
        </a:solidFill>
        <a:ln w="25400">
          <a:solidFill>
            <a:srgbClr val="993300"/>
          </a:solidFill>
        </a:ln>
      </c:spPr>
    </c:title>
    <c:autoTitleDeleted val="0"/>
    <c:plotArea>
      <c:layout>
        <c:manualLayout>
          <c:layoutTarget val="inner"/>
          <c:xMode val="edge"/>
          <c:yMode val="edge"/>
          <c:x val="0.119688087763352"/>
          <c:y val="0.0415100400462884"/>
          <c:w val="0.872571229627845"/>
          <c:h val="0.750483736193006"/>
        </c:manualLayout>
      </c:layout>
      <c:stockChart>
        <c:ser>
          <c:idx val="0"/>
          <c:order val="0"/>
          <c:tx>
            <c:strRef>
              <c:f>'(intern)'!$BG$23</c:f>
              <c:strCache>
                <c:ptCount val="1"/>
                <c:pt idx="0">
                  <c:v>+0,674σ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'(intern)'!$BF$24:$BF$32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'(intern)'!$BG$24:$BG$32</c:f>
              <c:numCache>
                <c:formatCode>0.0</c:formatCode>
                <c:ptCount val="9"/>
                <c:pt idx="0">
                  <c:v>6.178298004048264</c:v>
                </c:pt>
                <c:pt idx="1">
                  <c:v>10.22272087208346</c:v>
                </c:pt>
                <c:pt idx="2">
                  <c:v>8.418031342072116</c:v>
                </c:pt>
                <c:pt idx="3">
                  <c:v>7.232531680760047</c:v>
                </c:pt>
                <c:pt idx="4">
                  <c:v>7.92869471592582</c:v>
                </c:pt>
                <c:pt idx="5">
                  <c:v>9.574533547394123</c:v>
                </c:pt>
                <c:pt idx="6">
                  <c:v>8.30634715228367</c:v>
                </c:pt>
                <c:pt idx="7">
                  <c:v>6.603530627774091</c:v>
                </c:pt>
                <c:pt idx="8">
                  <c:v>6.245592456026554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'(intern)'!$BH$23</c:f>
              <c:strCache>
                <c:ptCount val="1"/>
                <c:pt idx="0">
                  <c:v>- 0,674σ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'(intern)'!$BF$24:$BF$32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'(intern)'!$BH$24:$BH$32</c:f>
              <c:numCache>
                <c:formatCode>0.0</c:formatCode>
                <c:ptCount val="9"/>
                <c:pt idx="0">
                  <c:v>5.994410903206096</c:v>
                </c:pt>
                <c:pt idx="1">
                  <c:v>8.907857640313228</c:v>
                </c:pt>
                <c:pt idx="2">
                  <c:v>6.634549006871875</c:v>
                </c:pt>
                <c:pt idx="3">
                  <c:v>4.302858585539304</c:v>
                </c:pt>
                <c:pt idx="4">
                  <c:v>6.08915652374359</c:v>
                </c:pt>
                <c:pt idx="5">
                  <c:v>6.544952219364403</c:v>
                </c:pt>
                <c:pt idx="6">
                  <c:v>6.192716208597989</c:v>
                </c:pt>
                <c:pt idx="7">
                  <c:v>5.895734753309466</c:v>
                </c:pt>
                <c:pt idx="8">
                  <c:v>6.138833622944983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'(intern)'!$BI$23</c:f>
              <c:strCache>
                <c:ptCount val="1"/>
                <c:pt idx="0">
                  <c:v>MW</c:v>
                </c:pt>
              </c:strCache>
            </c:strRef>
          </c:tx>
          <c:spPr>
            <a:ln w="38100">
              <a:solidFill>
                <a:srgbClr val="80808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'(intern)'!$BF$24:$BF$32</c:f>
              <c:strCache>
                <c:ptCount val="9"/>
                <c:pt idx="0">
                  <c:v>07:00</c:v>
                </c:pt>
                <c:pt idx="1">
                  <c:v>09:30</c:v>
                </c:pt>
                <c:pt idx="2">
                  <c:v>12:00</c:v>
                </c:pt>
                <c:pt idx="3">
                  <c:v>14:30</c:v>
                </c:pt>
                <c:pt idx="4">
                  <c:v>17:30</c:v>
                </c:pt>
                <c:pt idx="5">
                  <c:v>20:00</c:v>
                </c:pt>
                <c:pt idx="6">
                  <c:v>23:00</c:v>
                </c:pt>
                <c:pt idx="7">
                  <c:v>Nacht</c:v>
                </c:pt>
                <c:pt idx="8">
                  <c:v>Früh</c:v>
                </c:pt>
              </c:strCache>
            </c:strRef>
          </c:cat>
          <c:val>
            <c:numRef>
              <c:f>'(intern)'!$BI$24:$BI$32</c:f>
              <c:numCache>
                <c:formatCode>0.0</c:formatCode>
                <c:ptCount val="9"/>
                <c:pt idx="0">
                  <c:v>6.08635445362718</c:v>
                </c:pt>
                <c:pt idx="1">
                  <c:v>9.565289256198346</c:v>
                </c:pt>
                <c:pt idx="2">
                  <c:v>7.526290174471995</c:v>
                </c:pt>
                <c:pt idx="3">
                  <c:v>5.767695133149675</c:v>
                </c:pt>
                <c:pt idx="4">
                  <c:v>7.008925619834705</c:v>
                </c:pt>
                <c:pt idx="5">
                  <c:v>8.05974288337926</c:v>
                </c:pt>
                <c:pt idx="6">
                  <c:v>7.24953168044083</c:v>
                </c:pt>
                <c:pt idx="7">
                  <c:v>6.249632690541778</c:v>
                </c:pt>
                <c:pt idx="8">
                  <c:v>6.192213039485768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axId val="2119622712"/>
        <c:axId val="2119625928"/>
      </c:stockChart>
      <c:catAx>
        <c:axId val="211962271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625928"/>
        <c:crossesAt val="2.0"/>
        <c:auto val="1"/>
        <c:lblAlgn val="ctr"/>
        <c:lblOffset val="100"/>
        <c:tickMarkSkip val="1"/>
        <c:noMultiLvlLbl val="0"/>
      </c:catAx>
      <c:valAx>
        <c:axId val="2119625928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933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9933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[mmol/L]</a:t>
                </a:r>
              </a:p>
            </c:rich>
          </c:tx>
          <c:layout>
            <c:manualLayout>
              <c:xMode val="edge"/>
              <c:yMode val="edge"/>
              <c:x val="0.0453563714902808"/>
              <c:y val="0.69439096950405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cross"/>
        <c:minorTickMark val="none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9933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622712"/>
        <c:crosses val="autoZero"/>
        <c:crossBetween val="between"/>
        <c:majorUnit val="1.5"/>
      </c:valAx>
      <c:dTable>
        <c:showHorzBorder val="1"/>
        <c:showVertBorder val="1"/>
        <c:showOutline val="1"/>
        <c:showKeys val="1"/>
        <c:spPr>
          <a:ln w="3175">
            <a:solidFill>
              <a:srgbClr val="993300"/>
            </a:solidFill>
            <a:prstDash val="solid"/>
          </a:ln>
        </c:spPr>
        <c:txPr>
          <a:bodyPr/>
          <a:lstStyle/>
          <a:p>
            <a:pPr rtl="0"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</c:dTable>
      <c:spPr>
        <a:solidFill>
          <a:srgbClr val="FFFFFF"/>
        </a:solidFill>
        <a:ln w="12700">
          <a:solidFill>
            <a:srgbClr val="99330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3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FF99" mc:Ignorable="a14" a14:legacySpreadsheetColorIndex="43"/>
        </a:gs>
      </a:gsLst>
      <a:lin ang="5400000" scaled="1"/>
    </a:gradFill>
    <a:ln w="3175">
      <a:solidFill>
        <a:srgbClr val="9933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00279165291582997"/>
          <c:y val="0.0215053854480507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0858560292058449"/>
          <c:y val="0.123655966326292"/>
          <c:w val="0.82828794158831"/>
          <c:h val="0.752242296267165"/>
        </c:manualLayout>
      </c:layout>
      <c:pieChart>
        <c:varyColors val="1"/>
        <c:ser>
          <c:idx val="0"/>
          <c:order val="0"/>
          <c:tx>
            <c:strRef>
              <c:f>'(intern2)'!$AO$210</c:f>
              <c:strCache>
                <c:ptCount val="1"/>
                <c:pt idx="0">
                  <c:v>Früh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</c:spPr>
          </c:dPt>
          <c:dPt>
            <c:idx val="1"/>
            <c:bubble3D val="0"/>
            <c:spPr>
              <a:solidFill>
                <a:srgbClr val="92D050"/>
              </a:solidFill>
              <a:ln>
                <a:solidFill>
                  <a:srgbClr val="92D050"/>
                </a:solidFill>
              </a:ln>
            </c:spPr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'(intern2)'!$AO$211:$AO$214</c:f>
              <c:numCache>
                <c:formatCode>General</c:formatCode>
                <c:ptCount val="4"/>
                <c:pt idx="0">
                  <c:v>6.0</c:v>
                </c:pt>
                <c:pt idx="1">
                  <c:v>2.0</c:v>
                </c:pt>
                <c:pt idx="2">
                  <c:v>0.0</c:v>
                </c:pt>
                <c:pt idx="3">
                  <c:v>2.0</c:v>
                </c:pt>
              </c:numCache>
            </c:numRef>
          </c:val>
        </c:ser>
        <c:ser>
          <c:idx val="1"/>
          <c:order val="1"/>
          <c:tx>
            <c:strRef>
              <c:f>'(intern2)'!$AP$210</c:f>
              <c:strCache>
                <c:ptCount val="1"/>
                <c:pt idx="0">
                  <c:v>Mittag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'(intern2)'!$AP$211:$AP$214</c:f>
              <c:numCache>
                <c:formatCode>General</c:formatCode>
                <c:ptCount val="4"/>
                <c:pt idx="0">
                  <c:v>1.0</c:v>
                </c:pt>
                <c:pt idx="1">
                  <c:v>7.0</c:v>
                </c:pt>
                <c:pt idx="2">
                  <c:v>0.0</c:v>
                </c:pt>
                <c:pt idx="3">
                  <c:v>2.0</c:v>
                </c:pt>
              </c:numCache>
            </c:numRef>
          </c:val>
        </c:ser>
        <c:ser>
          <c:idx val="2"/>
          <c:order val="2"/>
          <c:tx>
            <c:strRef>
              <c:f>'(intern2)'!$AQ$210</c:f>
              <c:strCache>
                <c:ptCount val="1"/>
                <c:pt idx="0">
                  <c:v>Abend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'(intern2)'!$AQ$211:$AQ$214</c:f>
              <c:numCache>
                <c:formatCode>General</c:formatCode>
                <c:ptCount val="4"/>
                <c:pt idx="0">
                  <c:v>4.0</c:v>
                </c:pt>
                <c:pt idx="1">
                  <c:v>6.0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+mn-lt"/>
        </a:defRPr>
      </a:pPr>
      <a:endParaRPr lang="de-DE"/>
    </a:p>
  </c:txPr>
  <c:printSettings>
    <c:headerFooter/>
    <c:pageMargins b="0.787401575" l="0.7" r="0.7" t="0.7874015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5191127815171"/>
          <c:y val="0.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1991132698667"/>
          <c:y val="0.13270146306846"/>
          <c:w val="0.803725731608708"/>
          <c:h val="0.745197082135153"/>
        </c:manualLayout>
      </c:layout>
      <c:pieChart>
        <c:varyColors val="1"/>
        <c:ser>
          <c:idx val="1"/>
          <c:order val="0"/>
          <c:tx>
            <c:strRef>
              <c:f>'(intern2)'!$AP$210</c:f>
              <c:strCache>
                <c:ptCount val="1"/>
                <c:pt idx="0">
                  <c:v>Mittag</c:v>
                </c:pt>
              </c:strCache>
            </c:strRef>
          </c:tx>
          <c:spPr>
            <a:solidFill>
              <a:srgbClr val="92D050"/>
            </a:solidFill>
          </c:spPr>
          <c:dPt>
            <c:idx val="0"/>
            <c:bubble3D val="0"/>
            <c:spPr>
              <a:solidFill>
                <a:srgbClr val="00B0F0"/>
              </a:solidFill>
            </c:spPr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'(intern2)'!$AP$211:$AP$214</c:f>
              <c:numCache>
                <c:formatCode>General</c:formatCode>
                <c:ptCount val="4"/>
                <c:pt idx="0">
                  <c:v>1.0</c:v>
                </c:pt>
                <c:pt idx="1">
                  <c:v>7.0</c:v>
                </c:pt>
                <c:pt idx="2">
                  <c:v>0.0</c:v>
                </c:pt>
                <c:pt idx="3">
                  <c:v>2.0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87401575" l="0.7" r="0.7" t="0.7874015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57092020395891"/>
          <c:y val="0.0156950626463688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0676923404929572"/>
          <c:y val="0.137489160726092"/>
          <c:w val="0.864615319014086"/>
          <c:h val="0.735051688661038"/>
        </c:manualLayout>
      </c:layout>
      <c:pieChart>
        <c:varyColors val="1"/>
        <c:ser>
          <c:idx val="2"/>
          <c:order val="0"/>
          <c:tx>
            <c:strRef>
              <c:f>'(intern2)'!$AQ$210</c:f>
              <c:strCache>
                <c:ptCount val="1"/>
                <c:pt idx="0">
                  <c:v>Abend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</c:spPr>
          </c:dPt>
          <c:dPt>
            <c:idx val="1"/>
            <c:bubble3D val="0"/>
            <c:spPr>
              <a:solidFill>
                <a:srgbClr val="92D050"/>
              </a:solidFill>
            </c:spPr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'(intern2)'!$AQ$211:$AQ$214</c:f>
              <c:numCache>
                <c:formatCode>General</c:formatCode>
                <c:ptCount val="4"/>
                <c:pt idx="0">
                  <c:v>4.0</c:v>
                </c:pt>
                <c:pt idx="1">
                  <c:v>6.0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87401575" l="0.7" r="0.7" t="0.7874015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de-DE" sz="1200" b="1"/>
              <a:t>Wirkung der Basal-Versorgung</a:t>
            </a:r>
          </a:p>
          <a:p>
            <a:pPr>
              <a:defRPr/>
            </a:pPr>
            <a:r>
              <a:rPr lang="de-DE" sz="1200" b="1"/>
              <a:t>(ohne pp)</a:t>
            </a:r>
          </a:p>
        </c:rich>
      </c:tx>
      <c:layout>
        <c:manualLayout>
          <c:xMode val="edge"/>
          <c:yMode val="edge"/>
          <c:x val="0.600398878703205"/>
          <c:y val="0.0728076968268815"/>
        </c:manualLayout>
      </c:layout>
      <c:overlay val="1"/>
      <c:spPr>
        <a:solidFill>
          <a:srgbClr val="FFFF00"/>
        </a:solidFill>
        <a:ln>
          <a:solidFill>
            <a:srgbClr val="FF0000"/>
          </a:solidFill>
        </a:ln>
      </c:spPr>
    </c:title>
    <c:autoTitleDeleted val="0"/>
    <c:plotArea>
      <c:layout>
        <c:manualLayout>
          <c:layoutTarget val="inner"/>
          <c:xMode val="edge"/>
          <c:yMode val="edge"/>
          <c:x val="0.0649571511662255"/>
          <c:y val="0.0578809634089857"/>
          <c:w val="0.923373534004452"/>
          <c:h val="0.850963785809464"/>
        </c:manualLayout>
      </c:layout>
      <c:lineChart>
        <c:grouping val="standard"/>
        <c:varyColors val="0"/>
        <c:ser>
          <c:idx val="10"/>
          <c:order val="0"/>
          <c:tx>
            <c:strRef>
              <c:f>'(intern)'!$BG$93</c:f>
              <c:strCache>
                <c:ptCount val="1"/>
                <c:pt idx="0">
                  <c:v>Gauß 97</c:v>
                </c:pt>
              </c:strCache>
            </c:strRef>
          </c:tx>
          <c:spPr>
            <a:ln w="25400">
              <a:solidFill>
                <a:srgbClr val="FF6600"/>
              </a:solidFill>
              <a:prstDash val="lgDash"/>
            </a:ln>
          </c:spPr>
          <c:marker>
            <c:symbol val="none"/>
          </c:marker>
          <c:cat>
            <c:strRef>
              <c:f>'(intern)'!$BH$80:$BR$80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'(intern)'!$BH$93:$BR$93</c:f>
              <c:numCache>
                <c:formatCode>General</c:formatCode>
                <c:ptCount val="11"/>
                <c:pt idx="1">
                  <c:v>1.0</c:v>
                </c:pt>
                <c:pt idx="2">
                  <c:v>6.0</c:v>
                </c:pt>
                <c:pt idx="3">
                  <c:v>15.0</c:v>
                </c:pt>
                <c:pt idx="4">
                  <c:v>20.0</c:v>
                </c:pt>
                <c:pt idx="5">
                  <c:v>15.0</c:v>
                </c:pt>
                <c:pt idx="6">
                  <c:v>6.0</c:v>
                </c:pt>
                <c:pt idx="7">
                  <c:v>1.0</c:v>
                </c:pt>
              </c:numCache>
            </c:numRef>
          </c:val>
          <c:smooth val="1"/>
        </c:ser>
        <c:ser>
          <c:idx val="0"/>
          <c:order val="1"/>
          <c:tx>
            <c:strRef>
              <c:f>'(intern)'!$A$94</c:f>
              <c:strCache>
                <c:ptCount val="1"/>
                <c:pt idx="0">
                  <c:v>Summe nüchtern</c:v>
                </c:pt>
              </c:strCache>
            </c:strRef>
          </c:tx>
          <c:spPr>
            <a:ln w="3175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CFFCC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'(intern)'!$BH$80:$BR$80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'(intern)'!$BH$92:$BR$92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3.0</c:v>
                </c:pt>
                <c:pt idx="4">
                  <c:v>29.0</c:v>
                </c:pt>
                <c:pt idx="5">
                  <c:v>10.0</c:v>
                </c:pt>
                <c:pt idx="6">
                  <c:v>8.0</c:v>
                </c:pt>
                <c:pt idx="7">
                  <c:v>3.0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800584"/>
        <c:axId val="2119804152"/>
      </c:lineChart>
      <c:catAx>
        <c:axId val="211980058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3300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19804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9804152"/>
        <c:scaling>
          <c:orientation val="minMax"/>
          <c:max val="30.0"/>
          <c:min val="0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3300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19800584"/>
        <c:crosses val="autoZero"/>
        <c:crossBetween val="between"/>
        <c:majorUnit val="2.0"/>
        <c:minorUnit val="1.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950" b="0" i="0" u="none" strike="noStrike" baseline="0">
          <a:solidFill>
            <a:srgbClr val="003300"/>
          </a:solidFill>
          <a:latin typeface="Geneva"/>
          <a:ea typeface="Geneva"/>
          <a:cs typeface="Geneva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7929542101036"/>
          <c:y val="0.0721228387152337"/>
          <c:w val="0.763598753392017"/>
          <c:h val="0.862892966983225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'(intern)'!$BF$100</c:f>
              <c:strCache>
                <c:ptCount val="1"/>
                <c:pt idx="0">
                  <c:v>01.01.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'(intern)'!$BF$101:$BF$106</c:f>
              <c:numCache>
                <c:formatCode>0.0</c:formatCode>
                <c:ptCount val="6"/>
                <c:pt idx="0">
                  <c:v>6.277777777777778</c:v>
                </c:pt>
                <c:pt idx="1">
                  <c:v>8.055555555555555</c:v>
                </c:pt>
                <c:pt idx="2">
                  <c:v>6.0</c:v>
                </c:pt>
                <c:pt idx="3">
                  <c:v>10.0</c:v>
                </c:pt>
                <c:pt idx="4">
                  <c:v>5.277777777777778</c:v>
                </c:pt>
                <c:pt idx="5">
                  <c:v>6.277777777777778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'(intern)'!$BG$100</c:f>
              <c:strCache>
                <c:ptCount val="1"/>
                <c:pt idx="0">
                  <c:v>04.01.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'(intern)'!$BG$101:$BG$106</c:f>
              <c:numCache>
                <c:formatCode>0.0</c:formatCode>
                <c:ptCount val="6"/>
                <c:pt idx="0">
                  <c:v>6.222222222222222</c:v>
                </c:pt>
                <c:pt idx="1">
                  <c:v>6.777777777777778</c:v>
                </c:pt>
                <c:pt idx="2">
                  <c:v>9.166666666666666</c:v>
                </c:pt>
                <c:pt idx="3">
                  <c:v>7.222222222222222</c:v>
                </c:pt>
                <c:pt idx="4">
                  <c:v>5.555555555555555</c:v>
                </c:pt>
                <c:pt idx="5">
                  <c:v>6.222222222222222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'(intern)'!$BH$100</c:f>
              <c:strCache>
                <c:ptCount val="1"/>
                <c:pt idx="0">
                  <c:v>08.01.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'(intern)'!$BH$101:$BH$106</c:f>
              <c:numCache>
                <c:formatCode>0.0</c:formatCode>
                <c:ptCount val="6"/>
                <c:pt idx="0">
                  <c:v>6.2</c:v>
                </c:pt>
                <c:pt idx="1">
                  <c:v>4.8</c:v>
                </c:pt>
                <c:pt idx="2">
                  <c:v>6.9</c:v>
                </c:pt>
                <c:pt idx="3">
                  <c:v>7.4</c:v>
                </c:pt>
                <c:pt idx="4">
                  <c:v>5.9</c:v>
                </c:pt>
                <c:pt idx="5">
                  <c:v>6.25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'(intern)'!$BI$100</c:f>
              <c:strCache>
                <c:ptCount val="1"/>
                <c:pt idx="0">
                  <c:v>11.01.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'(intern)'!$BI$101:$BI$106</c:f>
              <c:numCache>
                <c:formatCode>0.0</c:formatCode>
                <c:ptCount val="6"/>
                <c:pt idx="0">
                  <c:v>6.1</c:v>
                </c:pt>
                <c:pt idx="1">
                  <c:v>6.8</c:v>
                </c:pt>
                <c:pt idx="2">
                  <c:v>8.2</c:v>
                </c:pt>
                <c:pt idx="3">
                  <c:v>9.0</c:v>
                </c:pt>
                <c:pt idx="4">
                  <c:v>5.8</c:v>
                </c:pt>
                <c:pt idx="5">
                  <c:v>6.23611111111111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'(intern)'!$BJ$41</c:f>
              <c:strCache>
                <c:ptCount val="1"/>
                <c:pt idx="0">
                  <c:v>15.01.</c:v>
                </c:pt>
              </c:strCache>
            </c:strRef>
          </c:tx>
          <c:spPr>
            <a:ln w="12700">
              <a:solidFill>
                <a:srgbClr val="99CC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'(intern)'!$BJ$101:$BJ$106</c:f>
              <c:numCache>
                <c:formatCode>0.0</c:formatCode>
                <c:ptCount val="6"/>
                <c:pt idx="0">
                  <c:v>6.0</c:v>
                </c:pt>
                <c:pt idx="1">
                  <c:v>10.3</c:v>
                </c:pt>
                <c:pt idx="2">
                  <c:v>6.4</c:v>
                </c:pt>
                <c:pt idx="3">
                  <c:v>7.6</c:v>
                </c:pt>
                <c:pt idx="4">
                  <c:v>6.5</c:v>
                </c:pt>
                <c:pt idx="5">
                  <c:v>6.0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'(intern)'!$BK$41</c:f>
              <c:strCache>
                <c:ptCount val="1"/>
                <c:pt idx="0">
                  <c:v>18.01.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'(intern)'!$BK$101:$BK$106</c:f>
              <c:numCache>
                <c:formatCode>0.0</c:formatCode>
                <c:ptCount val="6"/>
                <c:pt idx="0">
                  <c:v>6.2</c:v>
                </c:pt>
                <c:pt idx="1">
                  <c:v>8.2</c:v>
                </c:pt>
                <c:pt idx="2">
                  <c:v>5.0</c:v>
                </c:pt>
                <c:pt idx="3">
                  <c:v>5.3</c:v>
                </c:pt>
                <c:pt idx="4">
                  <c:v>6.6</c:v>
                </c:pt>
                <c:pt idx="5">
                  <c:v>6.2</c:v>
                </c:pt>
              </c:numCache>
            </c:numRef>
          </c:val>
          <c:smooth val="1"/>
        </c:ser>
        <c:ser>
          <c:idx val="6"/>
          <c:order val="6"/>
          <c:tx>
            <c:strRef>
              <c:f>'(intern)'!$BL$41</c:f>
              <c:strCache>
                <c:ptCount val="1"/>
                <c:pt idx="0">
                  <c:v>22.01.</c:v>
                </c:pt>
              </c:strCache>
            </c:strRef>
          </c:tx>
          <c:spPr>
            <a:ln w="12700" cmpd="sng">
              <a:solidFill>
                <a:srgbClr val="008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'(intern)'!$BL$101:$BL$106</c:f>
              <c:numCache>
                <c:formatCode>0.0</c:formatCode>
                <c:ptCount val="6"/>
                <c:pt idx="0">
                  <c:v>6.0</c:v>
                </c:pt>
                <c:pt idx="1">
                  <c:v>8.7</c:v>
                </c:pt>
                <c:pt idx="2">
                  <c:v>9.2</c:v>
                </c:pt>
                <c:pt idx="3">
                  <c:v>9.7</c:v>
                </c:pt>
                <c:pt idx="4">
                  <c:v>6.5</c:v>
                </c:pt>
                <c:pt idx="5">
                  <c:v>6.1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'(intern)'!$BM$41</c:f>
              <c:strCache>
                <c:ptCount val="1"/>
                <c:pt idx="0">
                  <c:v>25.01.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33CCCC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'(intern)'!$BM$101:$BM$106</c:f>
              <c:numCache>
                <c:formatCode>0.0</c:formatCode>
                <c:ptCount val="6"/>
                <c:pt idx="0">
                  <c:v>6.2</c:v>
                </c:pt>
                <c:pt idx="1">
                  <c:v>6.0</c:v>
                </c:pt>
                <c:pt idx="2">
                  <c:v>4.9</c:v>
                </c:pt>
                <c:pt idx="3">
                  <c:v>7.5</c:v>
                </c:pt>
                <c:pt idx="4">
                  <c:v>6.55</c:v>
                </c:pt>
                <c:pt idx="5">
                  <c:v>6.15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'(intern)'!$BN$41</c:f>
              <c:strCache>
                <c:ptCount val="1"/>
                <c:pt idx="0">
                  <c:v>29.01.</c:v>
                </c:pt>
              </c:strCache>
            </c:strRef>
          </c:tx>
          <c:spPr>
            <a:ln w="12700">
              <a:solidFill>
                <a:srgbClr val="3366FF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'(intern)'!$BN$101:$BN$106</c:f>
              <c:numCache>
                <c:formatCode>0.0</c:formatCode>
                <c:ptCount val="6"/>
                <c:pt idx="0">
                  <c:v>6.2</c:v>
                </c:pt>
                <c:pt idx="1">
                  <c:v>7.35</c:v>
                </c:pt>
                <c:pt idx="2">
                  <c:v>6.8</c:v>
                </c:pt>
                <c:pt idx="3">
                  <c:v>5.3</c:v>
                </c:pt>
                <c:pt idx="4">
                  <c:v>5.8</c:v>
                </c:pt>
                <c:pt idx="5">
                  <c:v>6.2</c:v>
                </c:pt>
              </c:numCache>
            </c:numRef>
          </c:val>
          <c:smooth val="1"/>
        </c:ser>
        <c:ser>
          <c:idx val="9"/>
          <c:order val="9"/>
          <c:tx>
            <c:strRef>
              <c:f>'(intern)'!$BO$41</c:f>
              <c:strCache>
                <c:ptCount val="1"/>
                <c:pt idx="0">
                  <c:v>01.02.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'(intern)'!$BO$101:$BO$106</c:f>
              <c:numCache>
                <c:formatCode>0.0</c:formatCode>
                <c:ptCount val="6"/>
                <c:pt idx="0">
                  <c:v>5.9</c:v>
                </c:pt>
                <c:pt idx="1">
                  <c:v>7.4</c:v>
                </c:pt>
                <c:pt idx="2">
                  <c:v>8.2</c:v>
                </c:pt>
                <c:pt idx="3">
                  <c:v>7.9</c:v>
                </c:pt>
                <c:pt idx="4">
                  <c:v>6.1</c:v>
                </c:pt>
                <c:pt idx="5">
                  <c:v>6.3</c:v>
                </c:pt>
              </c:numCache>
            </c:numRef>
          </c:val>
          <c:smooth val="1"/>
        </c:ser>
        <c:ser>
          <c:idx val="10"/>
          <c:order val="10"/>
          <c:tx>
            <c:strRef>
              <c:f>'(intern)'!$BP$41</c:f>
              <c:strCache>
                <c:ptCount val="1"/>
                <c:pt idx="0">
                  <c:v>08.02.</c:v>
                </c:pt>
              </c:strCache>
            </c:strRef>
          </c:tx>
          <c:spPr>
            <a:ln w="38100">
              <a:solidFill>
                <a:schemeClr val="bg1">
                  <a:lumMod val="75000"/>
                </a:schemeClr>
              </a:solidFill>
              <a:prstDash val="sysDash"/>
            </a:ln>
          </c:spPr>
          <c:marker>
            <c:symbol val="none"/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'(intern)'!$BP$101:$BP$106</c:f>
              <c:numCache>
                <c:formatCode>0.0</c:formatCode>
                <c:ptCount val="6"/>
                <c:pt idx="0">
                  <c:v>5.985993265993272</c:v>
                </c:pt>
                <c:pt idx="1">
                  <c:v>7.741885521885479</c:v>
                </c:pt>
                <c:pt idx="2">
                  <c:v>6.873131313131296</c:v>
                </c:pt>
                <c:pt idx="3">
                  <c:v>6.429427609427875</c:v>
                </c:pt>
                <c:pt idx="4">
                  <c:v>6.631952861952868</c:v>
                </c:pt>
                <c:pt idx="5">
                  <c:v>6.167457912457913</c:v>
                </c:pt>
              </c:numCache>
            </c:numRef>
          </c:val>
          <c:smooth val="1"/>
        </c:ser>
        <c:ser>
          <c:idx val="11"/>
          <c:order val="11"/>
          <c:tx>
            <c:strRef>
              <c:f>'(intern)'!$BQ$41</c:f>
              <c:strCache>
                <c:ptCount val="1"/>
                <c:pt idx="0">
                  <c:v>15.02.</c:v>
                </c:pt>
              </c:strCache>
            </c:strRef>
          </c:tx>
          <c:spPr>
            <a:ln w="38100" cmpd="sng"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  <c:marker>
            <c:symbol val="none"/>
          </c:marker>
          <c:dPt>
            <c:idx val="5"/>
            <c:bubble3D val="0"/>
          </c:dPt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'(intern)'!$BQ$101:$BQ$106</c:f>
              <c:numCache>
                <c:formatCode>0.0</c:formatCode>
                <c:ptCount val="6"/>
                <c:pt idx="0">
                  <c:v>5.941683501683485</c:v>
                </c:pt>
                <c:pt idx="1">
                  <c:v>7.835286195286244</c:v>
                </c:pt>
                <c:pt idx="2">
                  <c:v>6.810505050505014</c:v>
                </c:pt>
                <c:pt idx="3">
                  <c:v>6.040875420875636</c:v>
                </c:pt>
                <c:pt idx="4">
                  <c:v>6.808451178451151</c:v>
                </c:pt>
                <c:pt idx="5">
                  <c:v>6.15941077441078</c:v>
                </c:pt>
              </c:numCache>
            </c:numRef>
          </c:val>
          <c:smooth val="1"/>
        </c:ser>
        <c:ser>
          <c:idx val="12"/>
          <c:order val="12"/>
          <c:tx>
            <c:strRef>
              <c:f>'(intern)'!$BR$41</c:f>
              <c:strCache>
                <c:ptCount val="1"/>
                <c:pt idx="0">
                  <c:v>22.02.</c:v>
                </c:pt>
              </c:strCache>
            </c:strRef>
          </c:tx>
          <c:spPr>
            <a:ln w="381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'(intern)'!$BE$101:$BE$106</c:f>
              <c:strCache>
                <c:ptCount val="6"/>
                <c:pt idx="0">
                  <c:v>07:00</c:v>
                </c:pt>
                <c:pt idx="1">
                  <c:v>12:00</c:v>
                </c:pt>
                <c:pt idx="2">
                  <c:v>17:30</c:v>
                </c:pt>
                <c:pt idx="3">
                  <c:v>23:00</c:v>
                </c:pt>
                <c:pt idx="4">
                  <c:v>Nacht</c:v>
                </c:pt>
                <c:pt idx="5">
                  <c:v>Früh</c:v>
                </c:pt>
              </c:strCache>
            </c:strRef>
          </c:cat>
          <c:val>
            <c:numRef>
              <c:f>'(intern)'!$BR$101:$BR$106</c:f>
              <c:numCache>
                <c:formatCode>0.0</c:formatCode>
                <c:ptCount val="6"/>
                <c:pt idx="0">
                  <c:v>5.897373737373698</c:v>
                </c:pt>
                <c:pt idx="1">
                  <c:v>7.928686868686896</c:v>
                </c:pt>
                <c:pt idx="2">
                  <c:v>6.74787878787879</c:v>
                </c:pt>
                <c:pt idx="3">
                  <c:v>5.652323232323397</c:v>
                </c:pt>
                <c:pt idx="4">
                  <c:v>6.984949494949432</c:v>
                </c:pt>
                <c:pt idx="5">
                  <c:v>6.15136363636364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916616"/>
        <c:axId val="2119920072"/>
      </c:lineChart>
      <c:catAx>
        <c:axId val="2119916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920072"/>
        <c:crossesAt val="2.0"/>
        <c:auto val="1"/>
        <c:lblAlgn val="ctr"/>
        <c:lblOffset val="100"/>
        <c:tickLblSkip val="1"/>
        <c:tickMarkSkip val="1"/>
        <c:noMultiLvlLbl val="0"/>
      </c:catAx>
      <c:valAx>
        <c:axId val="2119920072"/>
        <c:scaling>
          <c:orientation val="minMax"/>
          <c:max val="14.0"/>
          <c:min val="2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9916616"/>
        <c:crosses val="autoZero"/>
        <c:crossBetween val="between"/>
        <c:majorUnit val="1.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108381784367771"/>
          <c:y val="0.0419263036401166"/>
          <c:w val="0.143713096461285"/>
          <c:h val="0.894774104069074"/>
        </c:manualLayout>
      </c:layout>
      <c:overlay val="0"/>
      <c:spPr>
        <a:solidFill>
          <a:srgbClr val="FFFFFF"/>
        </a:solidFill>
        <a:ln w="12700">
          <a:solidFill>
            <a:schemeClr val="bg1">
              <a:lumMod val="50000"/>
            </a:schemeClr>
          </a:solidFill>
          <a:prstDash val="sysDot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43">
            <a:gamma/>
            <a:tint val="0"/>
            <a:invGamma/>
          </a:srgbClr>
        </a:gs>
        <a:gs pos="100000">
          <a:srgbClr xmlns:mc="http://schemas.openxmlformats.org/markup-compatibility/2006" xmlns:a14="http://schemas.microsoft.com/office/drawing/2010/main" val="FFFF99" mc:Ignorable="a14" a14:legacySpreadsheetColorIndex="43"/>
        </a:gs>
      </a:gsLst>
      <a:lin ang="5400000" scaled="1"/>
    </a:gradFill>
    <a:ln w="3175">
      <a:noFill/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786496983553"/>
          <c:y val="0.0380887587784739"/>
          <c:w val="0.861407956059757"/>
          <c:h val="0.553875298568979"/>
        </c:manualLayout>
      </c:layout>
      <c:lineChart>
        <c:grouping val="standard"/>
        <c:varyColors val="0"/>
        <c:ser>
          <c:idx val="1"/>
          <c:order val="0"/>
          <c:tx>
            <c:strRef>
              <c:f>'hjt-pp'!$C$2</c:f>
              <c:strCache>
                <c:ptCount val="1"/>
                <c:pt idx="0">
                  <c:v>20.08. früh</c:v>
                </c:pt>
              </c:strCache>
            </c:strRef>
          </c:tx>
          <c:spPr>
            <a:ln w="63500">
              <a:solidFill>
                <a:srgbClr val="993300"/>
              </a:solidFill>
            </a:ln>
          </c:spPr>
          <c:marker>
            <c:symbol val="none"/>
          </c:marker>
          <c:dPt>
            <c:idx val="3"/>
            <c:bubble3D val="0"/>
          </c:dPt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'hjt-pp'!$C$3:$C$8</c:f>
              <c:numCache>
                <c:formatCode>0.0</c:formatCode>
                <c:ptCount val="6"/>
                <c:pt idx="0">
                  <c:v>6.3</c:v>
                </c:pt>
                <c:pt idx="1">
                  <c:v>7.2</c:v>
                </c:pt>
                <c:pt idx="2">
                  <c:v>10.3</c:v>
                </c:pt>
                <c:pt idx="3">
                  <c:v>9.5</c:v>
                </c:pt>
                <c:pt idx="4">
                  <c:v>6.5</c:v>
                </c:pt>
                <c:pt idx="5">
                  <c:v>6.3</c:v>
                </c:pt>
              </c:numCache>
            </c:numRef>
          </c:val>
          <c:smooth val="1"/>
        </c:ser>
        <c:ser>
          <c:idx val="2"/>
          <c:order val="1"/>
          <c:tx>
            <c:strRef>
              <c:f>'hjt-pp'!$D$2</c:f>
              <c:strCache>
                <c:ptCount val="1"/>
                <c:pt idx="0">
                  <c:v>30.04. früh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'hjt-pp'!$D$3:$D$8</c:f>
              <c:numCache>
                <c:formatCode>0.0</c:formatCode>
                <c:ptCount val="6"/>
                <c:pt idx="0">
                  <c:v>7.777777777777778</c:v>
                </c:pt>
                <c:pt idx="1">
                  <c:v>7.5</c:v>
                </c:pt>
                <c:pt idx="2">
                  <c:v>10.88888888888889</c:v>
                </c:pt>
                <c:pt idx="3">
                  <c:v>11.05555555555556</c:v>
                </c:pt>
                <c:pt idx="4">
                  <c:v>9.777777777777778</c:v>
                </c:pt>
                <c:pt idx="5">
                  <c:v>9.88888888888889</c:v>
                </c:pt>
              </c:numCache>
            </c:numRef>
          </c:val>
          <c:smooth val="1"/>
        </c:ser>
        <c:ser>
          <c:idx val="5"/>
          <c:order val="2"/>
          <c:tx>
            <c:strRef>
              <c:f>'hjt-pp'!$E$2</c:f>
              <c:strCache>
                <c:ptCount val="1"/>
                <c:pt idx="0">
                  <c:v>03.05. früh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ot"/>
            </a:ln>
          </c:spPr>
          <c:marker>
            <c:symbol val="none"/>
          </c:marker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'hjt-pp'!$E$3:$E$8</c:f>
              <c:numCache>
                <c:formatCode>0.0</c:formatCode>
                <c:ptCount val="6"/>
                <c:pt idx="0">
                  <c:v>8.611111111111111</c:v>
                </c:pt>
                <c:pt idx="1">
                  <c:v>7.444444444444444</c:v>
                </c:pt>
                <c:pt idx="2">
                  <c:v>11.5</c:v>
                </c:pt>
                <c:pt idx="3">
                  <c:v>13.05555555555556</c:v>
                </c:pt>
                <c:pt idx="4">
                  <c:v>8.777777777777778</c:v>
                </c:pt>
                <c:pt idx="5">
                  <c:v>4.277777777777778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'hjt-pp'!$F$2</c:f>
              <c:strCache>
                <c:ptCount val="1"/>
                <c:pt idx="0">
                  <c:v>11.05. früh</c:v>
                </c:pt>
              </c:strCache>
            </c:strRef>
          </c:tx>
          <c:spPr>
            <a:ln w="12700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'hjt-pp'!$F$3:$F$8</c:f>
              <c:numCache>
                <c:formatCode>0.0</c:formatCode>
                <c:ptCount val="6"/>
                <c:pt idx="0">
                  <c:v>8.5</c:v>
                </c:pt>
                <c:pt idx="1">
                  <c:v>7.166666666666667</c:v>
                </c:pt>
                <c:pt idx="2">
                  <c:v>15.38888888888889</c:v>
                </c:pt>
                <c:pt idx="3">
                  <c:v>14.83333333333333</c:v>
                </c:pt>
                <c:pt idx="4">
                  <c:v>11.88888888888889</c:v>
                </c:pt>
                <c:pt idx="5">
                  <c:v>8.444444444444444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'hjt-pp'!$G$2</c:f>
              <c:strCache>
                <c:ptCount val="1"/>
                <c:pt idx="0">
                  <c:v>17.05. früh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'hjt-pp'!$G$3:$G$8</c:f>
              <c:numCache>
                <c:formatCode>0.0</c:formatCode>
                <c:ptCount val="6"/>
                <c:pt idx="0">
                  <c:v>7.444444444444444</c:v>
                </c:pt>
                <c:pt idx="1">
                  <c:v>7.277777777777778</c:v>
                </c:pt>
                <c:pt idx="2">
                  <c:v>12.55555555555556</c:v>
                </c:pt>
                <c:pt idx="3">
                  <c:v>11.77777777777778</c:v>
                </c:pt>
                <c:pt idx="4">
                  <c:v>8.666666666666665</c:v>
                </c:pt>
                <c:pt idx="5">
                  <c:v>6.555555555555555</c:v>
                </c:pt>
              </c:numCache>
            </c:numRef>
          </c:val>
          <c:smooth val="1"/>
        </c:ser>
        <c:ser>
          <c:idx val="6"/>
          <c:order val="5"/>
          <c:tx>
            <c:strRef>
              <c:f>'hjt-pp'!$H$2</c:f>
              <c:strCache>
                <c:ptCount val="1"/>
                <c:pt idx="0">
                  <c:v>Xquer</c:v>
                </c:pt>
              </c:strCache>
            </c:strRef>
          </c:tx>
          <c:spPr>
            <a:ln w="63500" cmpd="dbl">
              <a:solidFill>
                <a:srgbClr val="7030A0"/>
              </a:solidFill>
              <a:prstDash val="solid"/>
            </a:ln>
          </c:spPr>
          <c:marker>
            <c:symbol val="none"/>
          </c:marker>
          <c:dPt>
            <c:idx val="3"/>
            <c:bubble3D val="0"/>
          </c:dPt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'hjt-pp'!$H$3:$H$8</c:f>
              <c:numCache>
                <c:formatCode>0.0</c:formatCode>
                <c:ptCount val="6"/>
                <c:pt idx="0">
                  <c:v>7.726666666666666</c:v>
                </c:pt>
                <c:pt idx="1">
                  <c:v>7.317777777777778</c:v>
                </c:pt>
                <c:pt idx="2">
                  <c:v>12.12666666666667</c:v>
                </c:pt>
                <c:pt idx="3">
                  <c:v>12.04444444444445</c:v>
                </c:pt>
                <c:pt idx="4">
                  <c:v>9.122222222222221</c:v>
                </c:pt>
                <c:pt idx="5">
                  <c:v>7.093333333333333</c:v>
                </c:pt>
              </c:numCache>
            </c:numRef>
          </c:val>
          <c:smooth val="1"/>
        </c:ser>
        <c:ser>
          <c:idx val="0"/>
          <c:order val="6"/>
          <c:tx>
            <c:strRef>
              <c:f>'hjt-pp'!$B$2</c:f>
              <c:strCache>
                <c:ptCount val="1"/>
                <c:pt idx="0">
                  <c:v>Ziel</c:v>
                </c:pt>
              </c:strCache>
            </c:strRef>
          </c:tx>
          <c:spPr>
            <a:ln w="25400" cmpd="sng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'hjt-pp'!$A$3:$A$8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'hjt-pp'!$B$3:$B$8</c:f>
              <c:numCache>
                <c:formatCode>0.0</c:formatCode>
                <c:ptCount val="6"/>
                <c:pt idx="0">
                  <c:v>6.666666666666667</c:v>
                </c:pt>
                <c:pt idx="1">
                  <c:v>6.666666666666667</c:v>
                </c:pt>
                <c:pt idx="2">
                  <c:v>9.166666666666666</c:v>
                </c:pt>
                <c:pt idx="3">
                  <c:v>8.055555555555555</c:v>
                </c:pt>
                <c:pt idx="4">
                  <c:v>6.944444444444444</c:v>
                </c:pt>
                <c:pt idx="5">
                  <c:v>6.666666666666667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977752"/>
        <c:axId val="2119980632"/>
      </c:lineChart>
      <c:catAx>
        <c:axId val="2119977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19980632"/>
        <c:crosses val="autoZero"/>
        <c:auto val="1"/>
        <c:lblAlgn val="ctr"/>
        <c:lblOffset val="100"/>
        <c:noMultiLvlLbl val="0"/>
      </c:catAx>
      <c:valAx>
        <c:axId val="2119980632"/>
        <c:scaling>
          <c:orientation val="minMax"/>
          <c:max val="17.0"/>
          <c:min val="3.5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119977752"/>
        <c:crosses val="autoZero"/>
        <c:crossBetween val="between"/>
        <c:majorUnit val="1.5"/>
      </c:valAx>
    </c:plotArea>
    <c:legend>
      <c:legendPos val="b"/>
      <c:layout>
        <c:manualLayout>
          <c:xMode val="edge"/>
          <c:yMode val="edge"/>
          <c:x val="0.0119120526600842"/>
          <c:y val="0.811732283464567"/>
          <c:w val="0.958606926691146"/>
          <c:h val="0.188267705839089"/>
        </c:manualLayout>
      </c:layout>
      <c:overlay val="0"/>
    </c:legend>
    <c:plotVisOnly val="1"/>
    <c:dispBlanksAs val="zero"/>
    <c:showDLblsOverMax val="0"/>
  </c:chart>
  <c:spPr>
    <a:ln>
      <a:solidFill>
        <a:schemeClr val="tx1"/>
      </a:solidFill>
    </a:ln>
  </c:spPr>
  <c:printSettings>
    <c:headerFooter/>
    <c:pageMargins b="0.787401575" l="0.7" r="0.7" t="0.7874015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846440960567176"/>
          <c:y val="0.0328819156681671"/>
          <c:w val="0.891367002691543"/>
          <c:h val="0.707619568387285"/>
        </c:manualLayout>
      </c:layout>
      <c:lineChart>
        <c:grouping val="standard"/>
        <c:varyColors val="0"/>
        <c:ser>
          <c:idx val="1"/>
          <c:order val="0"/>
          <c:tx>
            <c:strRef>
              <c:f>'hjt-pp'!$C$12</c:f>
              <c:strCache>
                <c:ptCount val="1"/>
                <c:pt idx="0">
                  <c:v>20.08. früh</c:v>
                </c:pt>
              </c:strCache>
            </c:strRef>
          </c:tx>
          <c:spPr>
            <a:ln w="63500">
              <a:solidFill>
                <a:srgbClr val="993300"/>
              </a:solidFill>
            </a:ln>
          </c:spPr>
          <c:marker>
            <c:symbol val="circle"/>
            <c:size val="7"/>
            <c:spPr>
              <a:solidFill>
                <a:srgbClr val="C00000"/>
              </a:solidFill>
            </c:spPr>
          </c:marker>
          <c:cat>
            <c:strRef>
              <c:f>'hjt-pp'!$A$13:$A$18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'hjt-pp'!$C$13:$C$18</c:f>
              <c:numCache>
                <c:formatCode>General</c:formatCode>
                <c:ptCount val="6"/>
                <c:pt idx="0">
                  <c:v>-0.366666666666667</c:v>
                </c:pt>
                <c:pt idx="1">
                  <c:v>0.533333333333333</c:v>
                </c:pt>
                <c:pt idx="2">
                  <c:v>1.133333333333335</c:v>
                </c:pt>
                <c:pt idx="3">
                  <c:v>1.444444444444445</c:v>
                </c:pt>
                <c:pt idx="4">
                  <c:v>-0.444444444444445</c:v>
                </c:pt>
                <c:pt idx="5">
                  <c:v>-0.366666666666667</c:v>
                </c:pt>
              </c:numCache>
            </c:numRef>
          </c:val>
          <c:smooth val="1"/>
        </c:ser>
        <c:ser>
          <c:idx val="2"/>
          <c:order val="1"/>
          <c:tx>
            <c:strRef>
              <c:f>'hjt-pp'!$D$12</c:f>
              <c:strCache>
                <c:ptCount val="1"/>
                <c:pt idx="0">
                  <c:v>30.04. früh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ot"/>
            </a:ln>
          </c:spPr>
          <c:marker>
            <c:symbol val="circle"/>
            <c:size val="2"/>
            <c:spPr>
              <a:solidFill>
                <a:srgbClr val="FF0000"/>
              </a:solidFill>
            </c:spPr>
          </c:marker>
          <c:dPt>
            <c:idx val="2"/>
            <c:bubble3D val="0"/>
          </c:dPt>
          <c:cat>
            <c:strRef>
              <c:f>'hjt-pp'!$A$13:$A$18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'hjt-pp'!$D$13:$D$18</c:f>
              <c:numCache>
                <c:formatCode>General</c:formatCode>
                <c:ptCount val="6"/>
                <c:pt idx="0">
                  <c:v>1.111111111111111</c:v>
                </c:pt>
                <c:pt idx="1">
                  <c:v>0.833333333333333</c:v>
                </c:pt>
                <c:pt idx="2">
                  <c:v>1.722222222222223</c:v>
                </c:pt>
                <c:pt idx="3">
                  <c:v>3.0</c:v>
                </c:pt>
                <c:pt idx="4">
                  <c:v>2.833333333333334</c:v>
                </c:pt>
                <c:pt idx="5">
                  <c:v>3.222222222222222</c:v>
                </c:pt>
              </c:numCache>
            </c:numRef>
          </c:val>
          <c:smooth val="1"/>
        </c:ser>
        <c:ser>
          <c:idx val="5"/>
          <c:order val="2"/>
          <c:tx>
            <c:strRef>
              <c:f>'hjt-pp'!$E$12</c:f>
              <c:strCache>
                <c:ptCount val="1"/>
                <c:pt idx="0">
                  <c:v>03.05. früh</c:v>
                </c:pt>
              </c:strCache>
            </c:strRef>
          </c:tx>
          <c:spPr>
            <a:ln w="12700">
              <a:solidFill>
                <a:srgbClr val="FFC000"/>
              </a:solidFill>
              <a:prstDash val="sysDot"/>
            </a:ln>
          </c:spPr>
          <c:marker>
            <c:symbol val="circle"/>
            <c:size val="2"/>
            <c:spPr>
              <a:solidFill>
                <a:srgbClr val="FFC000"/>
              </a:solidFill>
            </c:spPr>
          </c:marker>
          <c:val>
            <c:numRef>
              <c:f>'hjt-pp'!$E$13:$E$18</c:f>
              <c:numCache>
                <c:formatCode>General</c:formatCode>
                <c:ptCount val="6"/>
                <c:pt idx="0">
                  <c:v>1.944444444444444</c:v>
                </c:pt>
                <c:pt idx="1">
                  <c:v>0.777777777777778</c:v>
                </c:pt>
                <c:pt idx="2">
                  <c:v>2.333333333333334</c:v>
                </c:pt>
                <c:pt idx="3">
                  <c:v>5.0</c:v>
                </c:pt>
                <c:pt idx="4">
                  <c:v>1.833333333333334</c:v>
                </c:pt>
                <c:pt idx="5">
                  <c:v>-2.388888888888889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'hjt-pp'!$F$12</c:f>
              <c:strCache>
                <c:ptCount val="1"/>
                <c:pt idx="0">
                  <c:v>11.05. früh</c:v>
                </c:pt>
              </c:strCache>
            </c:strRef>
          </c:tx>
          <c:spPr>
            <a:ln w="12700">
              <a:solidFill>
                <a:srgbClr val="00B050"/>
              </a:solidFill>
              <a:prstDash val="sysDot"/>
            </a:ln>
          </c:spPr>
          <c:marker>
            <c:symbol val="circle"/>
            <c:size val="2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'hjt-pp'!$A$13:$A$18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'hjt-pp'!$F$13:$F$18</c:f>
              <c:numCache>
                <c:formatCode>General</c:formatCode>
                <c:ptCount val="6"/>
                <c:pt idx="0">
                  <c:v>1.833333333333333</c:v>
                </c:pt>
                <c:pt idx="1">
                  <c:v>0.5</c:v>
                </c:pt>
                <c:pt idx="2">
                  <c:v>6.222222222222223</c:v>
                </c:pt>
                <c:pt idx="3">
                  <c:v>6.777777777777778</c:v>
                </c:pt>
                <c:pt idx="4">
                  <c:v>4.944444444444444</c:v>
                </c:pt>
                <c:pt idx="5">
                  <c:v>1.777777777777778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'hjt-pp'!$G$12</c:f>
              <c:strCache>
                <c:ptCount val="1"/>
                <c:pt idx="0">
                  <c:v>17.05. früh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ysDot"/>
            </a:ln>
          </c:spPr>
          <c:marker>
            <c:symbol val="circle"/>
            <c:size val="2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dPt>
            <c:idx val="4"/>
            <c:bubble3D val="0"/>
          </c:dPt>
          <c:cat>
            <c:strRef>
              <c:f>'hjt-pp'!$A$13:$A$18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'hjt-pp'!$G$13:$G$18</c:f>
              <c:numCache>
                <c:formatCode>General</c:formatCode>
                <c:ptCount val="6"/>
                <c:pt idx="0">
                  <c:v>0.777777777777778</c:v>
                </c:pt>
                <c:pt idx="1">
                  <c:v>0.611111111111111</c:v>
                </c:pt>
                <c:pt idx="2">
                  <c:v>3.388888888888889</c:v>
                </c:pt>
                <c:pt idx="3">
                  <c:v>3.722222222222223</c:v>
                </c:pt>
                <c:pt idx="4">
                  <c:v>1.722222222222221</c:v>
                </c:pt>
                <c:pt idx="5">
                  <c:v>-0.111111111111112</c:v>
                </c:pt>
              </c:numCache>
            </c:numRef>
          </c:val>
          <c:smooth val="1"/>
        </c:ser>
        <c:ser>
          <c:idx val="6"/>
          <c:order val="5"/>
          <c:tx>
            <c:strRef>
              <c:f>'hjt-pp'!$H$12</c:f>
              <c:strCache>
                <c:ptCount val="1"/>
                <c:pt idx="0">
                  <c:v>Xquer</c:v>
                </c:pt>
              </c:strCache>
            </c:strRef>
          </c:tx>
          <c:spPr>
            <a:ln w="63500" cmpd="dbl">
              <a:solidFill>
                <a:srgbClr val="7030A0"/>
              </a:solidFill>
              <a:prstDash val="solid"/>
            </a:ln>
          </c:spPr>
          <c:marker>
            <c:symbol val="none"/>
          </c:marker>
          <c:val>
            <c:numRef>
              <c:f>'hjt-pp'!$H$13:$H$18</c:f>
              <c:numCache>
                <c:formatCode>General</c:formatCode>
                <c:ptCount val="6"/>
                <c:pt idx="0">
                  <c:v>1.06</c:v>
                </c:pt>
                <c:pt idx="1">
                  <c:v>0.651111111111111</c:v>
                </c:pt>
                <c:pt idx="2">
                  <c:v>2.960000000000003</c:v>
                </c:pt>
                <c:pt idx="3">
                  <c:v>3.988888888888891</c:v>
                </c:pt>
                <c:pt idx="4">
                  <c:v>2.177777777777777</c:v>
                </c:pt>
                <c:pt idx="5">
                  <c:v>0.426666666666667</c:v>
                </c:pt>
              </c:numCache>
            </c:numRef>
          </c:val>
          <c:smooth val="1"/>
        </c:ser>
        <c:ser>
          <c:idx val="0"/>
          <c:order val="6"/>
          <c:tx>
            <c:strRef>
              <c:f>'hjt-pp'!$I$12</c:f>
              <c:strCache>
                <c:ptCount val="1"/>
                <c:pt idx="0">
                  <c:v>Abweichung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'hjt-pp'!$A$13:$A$18</c:f>
              <c:strCache>
                <c:ptCount val="6"/>
                <c:pt idx="0">
                  <c:v>vorher</c:v>
                </c:pt>
                <c:pt idx="1">
                  <c:v>essen</c:v>
                </c:pt>
                <c:pt idx="2">
                  <c:v>1h</c:v>
                </c:pt>
                <c:pt idx="3">
                  <c:v>2h</c:v>
                </c:pt>
                <c:pt idx="4">
                  <c:v>3h</c:v>
                </c:pt>
                <c:pt idx="5">
                  <c:v>4h</c:v>
                </c:pt>
              </c:strCache>
            </c:strRef>
          </c:cat>
          <c:val>
            <c:numRef>
              <c:f>'hjt-pp'!$I$13:$I$18</c:f>
              <c:numCache>
                <c:formatCode>General</c:formatCode>
                <c:ptCount val="6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038920"/>
        <c:axId val="2120041832"/>
      </c:lineChart>
      <c:catAx>
        <c:axId val="21200389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20041832"/>
        <c:crosses val="autoZero"/>
        <c:auto val="1"/>
        <c:lblAlgn val="ctr"/>
        <c:lblOffset val="100"/>
        <c:noMultiLvlLbl val="0"/>
      </c:catAx>
      <c:valAx>
        <c:axId val="2120041832"/>
        <c:scaling>
          <c:orientation val="minMax"/>
          <c:max val="10.0"/>
          <c:min val="-10.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/>
        </c:spPr>
        <c:crossAx val="2120038920"/>
        <c:crosses val="autoZero"/>
        <c:crossBetween val="between"/>
        <c:majorUnit val="2.0"/>
      </c:valAx>
    </c:plotArea>
    <c:legend>
      <c:legendPos val="b"/>
      <c:layout>
        <c:manualLayout>
          <c:xMode val="edge"/>
          <c:yMode val="edge"/>
          <c:x val="0.0181348237708324"/>
          <c:y val="0.775929926929488"/>
          <c:w val="0.953138894842373"/>
          <c:h val="0.19586495150903"/>
        </c:manualLayout>
      </c:layout>
      <c:overlay val="0"/>
    </c:legend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87401575" l="0.7" r="0.7" t="0.7874015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vert="horz"/>
          <a:lstStyle/>
          <a:p>
            <a:pPr algn="ctr"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Langzeitverlauf</a:t>
            </a:r>
          </a:p>
          <a:p>
            <a:pPr algn="ctr"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[mmol/L]</a:t>
            </a:r>
            <a:endParaRPr lang="de-DE"/>
          </a:p>
        </c:rich>
      </c:tx>
      <c:layout>
        <c:manualLayout>
          <c:xMode val="edge"/>
          <c:yMode val="edge"/>
          <c:x val="0.00074955911758989"/>
          <c:y val="0.037786720214713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940779627368"/>
          <c:y val="0.0947717967072298"/>
          <c:w val="0.808095952023988"/>
          <c:h val="0.82275997673416"/>
        </c:manualLayout>
      </c:layout>
      <c:areaChart>
        <c:grouping val="standard"/>
        <c:varyColors val="0"/>
        <c:ser>
          <c:idx val="13"/>
          <c:order val="12"/>
          <c:tx>
            <c:strRef>
              <c:f>'(intern)'!$A$18</c:f>
              <c:strCache>
                <c:ptCount val="1"/>
                <c:pt idx="0">
                  <c:v>Stabw</c:v>
                </c:pt>
              </c:strCache>
            </c:strRef>
          </c:tx>
          <c:spPr>
            <a:gradFill rotWithShape="0">
              <a:gsLst>
                <a:gs pos="0">
                  <a:srgbClr val="FF6600"/>
                </a:gs>
                <a:gs pos="100000">
                  <a:srgbClr val="FFFF99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'(intern)'!$B$18:$BA$18</c:f>
              <c:numCache>
                <c:formatCode>0.0</c:formatCode>
                <c:ptCount val="52"/>
                <c:pt idx="0">
                  <c:v>1.683887371644584</c:v>
                </c:pt>
                <c:pt idx="1">
                  <c:v>1.768082164512268</c:v>
                </c:pt>
                <c:pt idx="2">
                  <c:v>1.519872928050608</c:v>
                </c:pt>
                <c:pt idx="3">
                  <c:v>2.471459169243961</c:v>
                </c:pt>
                <c:pt idx="4">
                  <c:v>2.016903873407927</c:v>
                </c:pt>
                <c:pt idx="5">
                  <c:v>2.252399269475952</c:v>
                </c:pt>
                <c:pt idx="6">
                  <c:v>1.837327299350408</c:v>
                </c:pt>
                <c:pt idx="7">
                  <c:v>1.671862272075704</c:v>
                </c:pt>
                <c:pt idx="8">
                  <c:v>1.737803866117205</c:v>
                </c:pt>
                <c:pt idx="9">
                  <c:v>1.473426533330932</c:v>
                </c:pt>
                <c:pt idx="10">
                  <c:v>2.417126393054369</c:v>
                </c:pt>
                <c:pt idx="11">
                  <c:v>1.993423496193813</c:v>
                </c:pt>
                <c:pt idx="12">
                  <c:v>1.541456878146632</c:v>
                </c:pt>
                <c:pt idx="13">
                  <c:v>1.569613505588971</c:v>
                </c:pt>
                <c:pt idx="14">
                  <c:v>1.305543735171075</c:v>
                </c:pt>
                <c:pt idx="15">
                  <c:v>1.237415761583226</c:v>
                </c:pt>
                <c:pt idx="16">
                  <c:v>1.235342122686099</c:v>
                </c:pt>
                <c:pt idx="17">
                  <c:v>1.195531265437848</c:v>
                </c:pt>
                <c:pt idx="18">
                  <c:v>1.211499471049657</c:v>
                </c:pt>
                <c:pt idx="19">
                  <c:v>1.209663735667424</c:v>
                </c:pt>
                <c:pt idx="20">
                  <c:v>1.203073555208669</c:v>
                </c:pt>
                <c:pt idx="21">
                  <c:v>1.207549774046916</c:v>
                </c:pt>
                <c:pt idx="22">
                  <c:v>1.206628876217442</c:v>
                </c:pt>
                <c:pt idx="23">
                  <c:v>1.205663977520747</c:v>
                </c:pt>
                <c:pt idx="24">
                  <c:v>1.20658989211754</c:v>
                </c:pt>
                <c:pt idx="25">
                  <c:v>1.206289808830225</c:v>
                </c:pt>
                <c:pt idx="26">
                  <c:v>1.20617842618982</c:v>
                </c:pt>
                <c:pt idx="27">
                  <c:v>1.206351661206039</c:v>
                </c:pt>
                <c:pt idx="28">
                  <c:v>1.206273121533034</c:v>
                </c:pt>
                <c:pt idx="29">
                  <c:v>1.206267651758427</c:v>
                </c:pt>
                <c:pt idx="30">
                  <c:v>1.206297436518819</c:v>
                </c:pt>
                <c:pt idx="31">
                  <c:v>1.206279395210563</c:v>
                </c:pt>
                <c:pt idx="32">
                  <c:v>1.206281492011536</c:v>
                </c:pt>
                <c:pt idx="33">
                  <c:v>1.206286106393555</c:v>
                </c:pt>
                <c:pt idx="34">
                  <c:v>1.206282330829824</c:v>
                </c:pt>
                <c:pt idx="35">
                  <c:v>1.20628330966754</c:v>
                </c:pt>
                <c:pt idx="36">
                  <c:v>1.206283915579303</c:v>
                </c:pt>
                <c:pt idx="37">
                  <c:v>1.206283185342198</c:v>
                </c:pt>
                <c:pt idx="38">
                  <c:v>1.206283470193506</c:v>
                </c:pt>
                <c:pt idx="39">
                  <c:v>1.206283523703419</c:v>
                </c:pt>
                <c:pt idx="40">
                  <c:v>1.206283393079022</c:v>
                </c:pt>
                <c:pt idx="41">
                  <c:v>1.206283462325196</c:v>
                </c:pt>
                <c:pt idx="42">
                  <c:v>1.206283459702498</c:v>
                </c:pt>
                <c:pt idx="43">
                  <c:v>1.206283438368875</c:v>
                </c:pt>
                <c:pt idx="44">
                  <c:v>1.20628345346552</c:v>
                </c:pt>
                <c:pt idx="45">
                  <c:v>1.206283450512292</c:v>
                </c:pt>
                <c:pt idx="46">
                  <c:v>1.206283447448905</c:v>
                </c:pt>
                <c:pt idx="47">
                  <c:v>1.206283450475571</c:v>
                </c:pt>
                <c:pt idx="48">
                  <c:v>1.206283449478919</c:v>
                </c:pt>
                <c:pt idx="49">
                  <c:v>1.206283449134463</c:v>
                </c:pt>
                <c:pt idx="50">
                  <c:v>1.20628344969632</c:v>
                </c:pt>
                <c:pt idx="51">
                  <c:v>1.20628344943657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0143000"/>
        <c:axId val="2120147048"/>
      </c:areaChart>
      <c:lineChart>
        <c:grouping val="standard"/>
        <c:varyColors val="0"/>
        <c:ser>
          <c:idx val="2"/>
          <c:order val="0"/>
          <c:tx>
            <c:strRef>
              <c:f>'(intern)'!$A$4</c:f>
              <c:strCache>
                <c:ptCount val="1"/>
                <c:pt idx="0">
                  <c:v>07:00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6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'(intern)'!$B$4:$BA$4</c:f>
              <c:numCache>
                <c:formatCode>0.0</c:formatCode>
                <c:ptCount val="52"/>
                <c:pt idx="0">
                  <c:v>6.166666666666667</c:v>
                </c:pt>
                <c:pt idx="1">
                  <c:v>6.111111111111111</c:v>
                </c:pt>
                <c:pt idx="2">
                  <c:v>6.0</c:v>
                </c:pt>
                <c:pt idx="3">
                  <c:v>6.222222222222222</c:v>
                </c:pt>
                <c:pt idx="4">
                  <c:v>6.0</c:v>
                </c:pt>
                <c:pt idx="5">
                  <c:v>6.277777777777778</c:v>
                </c:pt>
                <c:pt idx="6">
                  <c:v>6.222222222222222</c:v>
                </c:pt>
                <c:pt idx="7">
                  <c:v>6.2</c:v>
                </c:pt>
                <c:pt idx="8">
                  <c:v>6.1</c:v>
                </c:pt>
                <c:pt idx="9">
                  <c:v>6.0</c:v>
                </c:pt>
                <c:pt idx="10">
                  <c:v>6.2</c:v>
                </c:pt>
                <c:pt idx="11">
                  <c:v>6.0</c:v>
                </c:pt>
                <c:pt idx="12">
                  <c:v>6.2</c:v>
                </c:pt>
                <c:pt idx="13">
                  <c:v>6.2</c:v>
                </c:pt>
                <c:pt idx="14">
                  <c:v>5.9</c:v>
                </c:pt>
                <c:pt idx="15">
                  <c:v>6.100000000000001</c:v>
                </c:pt>
                <c:pt idx="16">
                  <c:v>6.066666666666667</c:v>
                </c:pt>
                <c:pt idx="17">
                  <c:v>6.022222222222222</c:v>
                </c:pt>
                <c:pt idx="18">
                  <c:v>6.062962962962963</c:v>
                </c:pt>
                <c:pt idx="19">
                  <c:v>6.050617283950617</c:v>
                </c:pt>
                <c:pt idx="20">
                  <c:v>6.045267489711934</c:v>
                </c:pt>
                <c:pt idx="21">
                  <c:v>6.05294924554184</c:v>
                </c:pt>
                <c:pt idx="22">
                  <c:v>6.049611339734798</c:v>
                </c:pt>
                <c:pt idx="23">
                  <c:v>6.049276024996191</c:v>
                </c:pt>
                <c:pt idx="24">
                  <c:v>6.050612203424276</c:v>
                </c:pt>
                <c:pt idx="25">
                  <c:v>6.04983318938509</c:v>
                </c:pt>
                <c:pt idx="26">
                  <c:v>6.04990713926852</c:v>
                </c:pt>
                <c:pt idx="27">
                  <c:v>6.050117510692629</c:v>
                </c:pt>
                <c:pt idx="28">
                  <c:v>6.049952613115413</c:v>
                </c:pt>
                <c:pt idx="29">
                  <c:v>6.04999242102552</c:v>
                </c:pt>
                <c:pt idx="30">
                  <c:v>6.050020848277854</c:v>
                </c:pt>
                <c:pt idx="31">
                  <c:v>6.049988627472929</c:v>
                </c:pt>
                <c:pt idx="32">
                  <c:v>6.050000632258768</c:v>
                </c:pt>
                <c:pt idx="33">
                  <c:v>6.050003369336516</c:v>
                </c:pt>
                <c:pt idx="34">
                  <c:v>6.049997543022737</c:v>
                </c:pt>
                <c:pt idx="35">
                  <c:v>6.050000514872674</c:v>
                </c:pt>
                <c:pt idx="36">
                  <c:v>6.050000475743975</c:v>
                </c:pt>
                <c:pt idx="37">
                  <c:v>6.04999951121313</c:v>
                </c:pt>
                <c:pt idx="38">
                  <c:v>6.050000167276593</c:v>
                </c:pt>
                <c:pt idx="39">
                  <c:v>6.050000051411232</c:v>
                </c:pt>
                <c:pt idx="40">
                  <c:v>6.049999909966985</c:v>
                </c:pt>
                <c:pt idx="41">
                  <c:v>6.050000042884936</c:v>
                </c:pt>
                <c:pt idx="42">
                  <c:v>6.050000001421051</c:v>
                </c:pt>
                <c:pt idx="43">
                  <c:v>6.049999984757657</c:v>
                </c:pt>
                <c:pt idx="44">
                  <c:v>6.050000009687881</c:v>
                </c:pt>
                <c:pt idx="45">
                  <c:v>6.049999998622197</c:v>
                </c:pt>
                <c:pt idx="46">
                  <c:v>6.049999997689245</c:v>
                </c:pt>
                <c:pt idx="47">
                  <c:v>6.050000001999774</c:v>
                </c:pt>
                <c:pt idx="48">
                  <c:v>6.049999999437072</c:v>
                </c:pt>
                <c:pt idx="49">
                  <c:v>6.049999999708696</c:v>
                </c:pt>
                <c:pt idx="50">
                  <c:v>6.050000000381847</c:v>
                </c:pt>
                <c:pt idx="51">
                  <c:v>6.049999999842538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'(intern)'!$A$5</c:f>
              <c:strCache>
                <c:ptCount val="1"/>
                <c:pt idx="0">
                  <c:v>09:30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99CC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'(intern)'!$B$5:$BA$5</c:f>
              <c:numCache>
                <c:formatCode>0.0</c:formatCode>
                <c:ptCount val="52"/>
                <c:pt idx="0">
                  <c:v>8.222222222222221</c:v>
                </c:pt>
                <c:pt idx="1">
                  <c:v>9.055555555555555</c:v>
                </c:pt>
                <c:pt idx="2">
                  <c:v>10.38888888888889</c:v>
                </c:pt>
                <c:pt idx="3">
                  <c:v>10.33333333333333</c:v>
                </c:pt>
                <c:pt idx="4">
                  <c:v>10.55555555555556</c:v>
                </c:pt>
                <c:pt idx="5">
                  <c:v>12.11111111111111</c:v>
                </c:pt>
                <c:pt idx="6">
                  <c:v>9.88888888888889</c:v>
                </c:pt>
                <c:pt idx="7">
                  <c:v>8.2</c:v>
                </c:pt>
                <c:pt idx="8">
                  <c:v>9.1</c:v>
                </c:pt>
                <c:pt idx="9">
                  <c:v>9.062962962962963</c:v>
                </c:pt>
                <c:pt idx="10">
                  <c:v>10.3</c:v>
                </c:pt>
                <c:pt idx="11">
                  <c:v>10.5</c:v>
                </c:pt>
                <c:pt idx="12">
                  <c:v>9.6</c:v>
                </c:pt>
                <c:pt idx="13">
                  <c:v>10.13333333333333</c:v>
                </c:pt>
                <c:pt idx="14">
                  <c:v>9.4</c:v>
                </c:pt>
                <c:pt idx="15">
                  <c:v>9.71111111111111</c:v>
                </c:pt>
                <c:pt idx="16">
                  <c:v>9.748148148148147</c:v>
                </c:pt>
                <c:pt idx="17">
                  <c:v>9.619753086419752</c:v>
                </c:pt>
                <c:pt idx="18">
                  <c:v>9.693004115226335</c:v>
                </c:pt>
                <c:pt idx="19">
                  <c:v>9.686968449931411</c:v>
                </c:pt>
                <c:pt idx="20">
                  <c:v>9.6665752171925</c:v>
                </c:pt>
                <c:pt idx="21">
                  <c:v>9.682182594116747</c:v>
                </c:pt>
                <c:pt idx="22">
                  <c:v>9.678575420413553</c:v>
                </c:pt>
                <c:pt idx="23">
                  <c:v>9.6757777439076</c:v>
                </c:pt>
                <c:pt idx="24">
                  <c:v>9.678845252812633</c:v>
                </c:pt>
                <c:pt idx="25">
                  <c:v>9.677732805711263</c:v>
                </c:pt>
                <c:pt idx="26">
                  <c:v>9.677451934143831</c:v>
                </c:pt>
                <c:pt idx="27">
                  <c:v>9.67800999755591</c:v>
                </c:pt>
                <c:pt idx="28">
                  <c:v>9.677731579137002</c:v>
                </c:pt>
                <c:pt idx="29">
                  <c:v>9.677731170278915</c:v>
                </c:pt>
                <c:pt idx="30">
                  <c:v>9.67782424899061</c:v>
                </c:pt>
                <c:pt idx="31">
                  <c:v>9.677762332802176</c:v>
                </c:pt>
                <c:pt idx="32">
                  <c:v>9.6777725840239</c:v>
                </c:pt>
                <c:pt idx="33">
                  <c:v>9.67778638860556</c:v>
                </c:pt>
                <c:pt idx="34">
                  <c:v>9.677773768477213</c:v>
                </c:pt>
                <c:pt idx="35">
                  <c:v>9.677777580368891</c:v>
                </c:pt>
                <c:pt idx="36">
                  <c:v>9.677779245817221</c:v>
                </c:pt>
                <c:pt idx="37">
                  <c:v>9.677776864887775</c:v>
                </c:pt>
                <c:pt idx="38">
                  <c:v>9.67777789702463</c:v>
                </c:pt>
                <c:pt idx="39">
                  <c:v>9.677778002576542</c:v>
                </c:pt>
                <c:pt idx="40">
                  <c:v>9.677777588162982</c:v>
                </c:pt>
                <c:pt idx="41">
                  <c:v>9.677777829254717</c:v>
                </c:pt>
                <c:pt idx="42">
                  <c:v>9.677777806664748</c:v>
                </c:pt>
                <c:pt idx="43">
                  <c:v>9.677777741360815</c:v>
                </c:pt>
                <c:pt idx="44">
                  <c:v>9.67777779242676</c:v>
                </c:pt>
                <c:pt idx="45">
                  <c:v>9.677777780150775</c:v>
                </c:pt>
                <c:pt idx="46">
                  <c:v>9.677777771312783</c:v>
                </c:pt>
                <c:pt idx="47">
                  <c:v>9.677777781296774</c:v>
                </c:pt>
                <c:pt idx="48">
                  <c:v>9.677777777586778</c:v>
                </c:pt>
                <c:pt idx="49">
                  <c:v>9.677777776732112</c:v>
                </c:pt>
                <c:pt idx="50">
                  <c:v>9.677777778538555</c:v>
                </c:pt>
                <c:pt idx="51">
                  <c:v>9.677777777619148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'(intern)'!$A$6</c:f>
              <c:strCache>
                <c:ptCount val="1"/>
                <c:pt idx="0">
                  <c:v>12:00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CC00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'(intern)'!$B$6:$BA$6</c:f>
              <c:numCache>
                <c:formatCode>0.0</c:formatCode>
                <c:ptCount val="52"/>
                <c:pt idx="0">
                  <c:v>4.777777777777778</c:v>
                </c:pt>
                <c:pt idx="1">
                  <c:v>6.777777777777778</c:v>
                </c:pt>
                <c:pt idx="2">
                  <c:v>6.777777777777778</c:v>
                </c:pt>
                <c:pt idx="3">
                  <c:v>8.777777777777778</c:v>
                </c:pt>
                <c:pt idx="4">
                  <c:v>8.722222222222221</c:v>
                </c:pt>
                <c:pt idx="5">
                  <c:v>8.055555555555555</c:v>
                </c:pt>
                <c:pt idx="6">
                  <c:v>6.777777777777778</c:v>
                </c:pt>
                <c:pt idx="7">
                  <c:v>4.8</c:v>
                </c:pt>
                <c:pt idx="8">
                  <c:v>6.8</c:v>
                </c:pt>
                <c:pt idx="9">
                  <c:v>10.3</c:v>
                </c:pt>
                <c:pt idx="10">
                  <c:v>8.2</c:v>
                </c:pt>
                <c:pt idx="11">
                  <c:v>8.7</c:v>
                </c:pt>
                <c:pt idx="12">
                  <c:v>6.0</c:v>
                </c:pt>
                <c:pt idx="13">
                  <c:v>7.633333333333332</c:v>
                </c:pt>
                <c:pt idx="14">
                  <c:v>7.4</c:v>
                </c:pt>
                <c:pt idx="15">
                  <c:v>7.01111111111111</c:v>
                </c:pt>
                <c:pt idx="16">
                  <c:v>7.348148148148148</c:v>
                </c:pt>
                <c:pt idx="17">
                  <c:v>7.253086419753086</c:v>
                </c:pt>
                <c:pt idx="18">
                  <c:v>7.204115226337447</c:v>
                </c:pt>
                <c:pt idx="19">
                  <c:v>7.268449931412893</c:v>
                </c:pt>
                <c:pt idx="20">
                  <c:v>7.241883859167809</c:v>
                </c:pt>
                <c:pt idx="21">
                  <c:v>7.23814967230605</c:v>
                </c:pt>
                <c:pt idx="22">
                  <c:v>7.249494487628918</c:v>
                </c:pt>
                <c:pt idx="23">
                  <c:v>7.243176006367592</c:v>
                </c:pt>
                <c:pt idx="24">
                  <c:v>7.243606722100853</c:v>
                </c:pt>
                <c:pt idx="25">
                  <c:v>7.245425738699121</c:v>
                </c:pt>
                <c:pt idx="26">
                  <c:v>7.244069489055855</c:v>
                </c:pt>
                <c:pt idx="27">
                  <c:v>7.244367316618611</c:v>
                </c:pt>
                <c:pt idx="28">
                  <c:v>7.24462084812453</c:v>
                </c:pt>
                <c:pt idx="29">
                  <c:v>7.244352551266332</c:v>
                </c:pt>
                <c:pt idx="30">
                  <c:v>7.244446905336491</c:v>
                </c:pt>
                <c:pt idx="31">
                  <c:v>7.244473434909117</c:v>
                </c:pt>
                <c:pt idx="32">
                  <c:v>7.244424297170647</c:v>
                </c:pt>
                <c:pt idx="33">
                  <c:v>7.244448212472085</c:v>
                </c:pt>
                <c:pt idx="34">
                  <c:v>7.24444864818395</c:v>
                </c:pt>
                <c:pt idx="35">
                  <c:v>7.244440385942227</c:v>
                </c:pt>
                <c:pt idx="36">
                  <c:v>7.244445748866088</c:v>
                </c:pt>
                <c:pt idx="37">
                  <c:v>7.244444927664088</c:v>
                </c:pt>
                <c:pt idx="38">
                  <c:v>7.2444436874908</c:v>
                </c:pt>
                <c:pt idx="39">
                  <c:v>7.244444788006992</c:v>
                </c:pt>
                <c:pt idx="40">
                  <c:v>7.244444467720626</c:v>
                </c:pt>
                <c:pt idx="41">
                  <c:v>7.244444314406139</c:v>
                </c:pt>
                <c:pt idx="42">
                  <c:v>7.244444523377918</c:v>
                </c:pt>
                <c:pt idx="43">
                  <c:v>7.244444435168227</c:v>
                </c:pt>
                <c:pt idx="44">
                  <c:v>7.244444424317428</c:v>
                </c:pt>
                <c:pt idx="45">
                  <c:v>7.244444460954524</c:v>
                </c:pt>
                <c:pt idx="46">
                  <c:v>7.244444440146727</c:v>
                </c:pt>
                <c:pt idx="47">
                  <c:v>7.244444441806227</c:v>
                </c:pt>
                <c:pt idx="48">
                  <c:v>7.244444447635826</c:v>
                </c:pt>
                <c:pt idx="49">
                  <c:v>7.244444443196259</c:v>
                </c:pt>
                <c:pt idx="50">
                  <c:v>7.24444444421277</c:v>
                </c:pt>
                <c:pt idx="51">
                  <c:v>7.244444445014952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'(intern)'!$A$7</c:f>
              <c:strCache>
                <c:ptCount val="1"/>
                <c:pt idx="0">
                  <c:v>14:30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FFCC00"/>
              </a:solidFill>
              <a:ln>
                <a:solidFill>
                  <a:srgbClr val="9933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'(intern)'!$B$7:$BA$7</c:f>
              <c:numCache>
                <c:formatCode>0.0</c:formatCode>
                <c:ptCount val="52"/>
                <c:pt idx="0">
                  <c:v>10.61111111111111</c:v>
                </c:pt>
                <c:pt idx="1">
                  <c:v>6.222222222222222</c:v>
                </c:pt>
                <c:pt idx="2">
                  <c:v>6.388888888888889</c:v>
                </c:pt>
                <c:pt idx="3">
                  <c:v>5.388888888888889</c:v>
                </c:pt>
                <c:pt idx="4">
                  <c:v>6.0</c:v>
                </c:pt>
                <c:pt idx="5">
                  <c:v>7.055555555555555</c:v>
                </c:pt>
                <c:pt idx="6">
                  <c:v>8.722222222222221</c:v>
                </c:pt>
                <c:pt idx="7">
                  <c:v>10.6</c:v>
                </c:pt>
                <c:pt idx="8">
                  <c:v>6.2</c:v>
                </c:pt>
                <c:pt idx="9">
                  <c:v>6.8</c:v>
                </c:pt>
                <c:pt idx="10">
                  <c:v>5.4</c:v>
                </c:pt>
                <c:pt idx="11">
                  <c:v>6.133333333333332</c:v>
                </c:pt>
                <c:pt idx="12">
                  <c:v>4.5</c:v>
                </c:pt>
                <c:pt idx="13">
                  <c:v>5.344444444444444</c:v>
                </c:pt>
                <c:pt idx="14">
                  <c:v>6.0</c:v>
                </c:pt>
                <c:pt idx="15">
                  <c:v>5.281481481481481</c:v>
                </c:pt>
                <c:pt idx="16">
                  <c:v>5.541975308641976</c:v>
                </c:pt>
                <c:pt idx="17">
                  <c:v>5.607818930041152</c:v>
                </c:pt>
                <c:pt idx="18">
                  <c:v>5.477091906721536</c:v>
                </c:pt>
                <c:pt idx="19">
                  <c:v>5.542295381801555</c:v>
                </c:pt>
                <c:pt idx="20">
                  <c:v>5.542402072854748</c:v>
                </c:pt>
                <c:pt idx="21">
                  <c:v>5.520596453792614</c:v>
                </c:pt>
                <c:pt idx="22">
                  <c:v>5.535097969482972</c:v>
                </c:pt>
                <c:pt idx="23">
                  <c:v>5.532698832043444</c:v>
                </c:pt>
                <c:pt idx="24">
                  <c:v>5.529464418439676</c:v>
                </c:pt>
                <c:pt idx="25">
                  <c:v>5.532420406655364</c:v>
                </c:pt>
                <c:pt idx="26">
                  <c:v>5.531527885712828</c:v>
                </c:pt>
                <c:pt idx="27">
                  <c:v>5.531137570269291</c:v>
                </c:pt>
                <c:pt idx="28">
                  <c:v>5.531695287545827</c:v>
                </c:pt>
                <c:pt idx="29">
                  <c:v>5.531453581175982</c:v>
                </c:pt>
                <c:pt idx="30">
                  <c:v>5.531428812997032</c:v>
                </c:pt>
                <c:pt idx="31">
                  <c:v>5.531525893906281</c:v>
                </c:pt>
                <c:pt idx="32">
                  <c:v>5.531469429359764</c:v>
                </c:pt>
                <c:pt idx="33">
                  <c:v>5.531474712087692</c:v>
                </c:pt>
                <c:pt idx="34">
                  <c:v>5.53149001178458</c:v>
                </c:pt>
                <c:pt idx="35">
                  <c:v>5.531478051077345</c:v>
                </c:pt>
                <c:pt idx="36">
                  <c:v>5.531480924983205</c:v>
                </c:pt>
                <c:pt idx="37">
                  <c:v>5.531482995948376</c:v>
                </c:pt>
                <c:pt idx="38">
                  <c:v>5.53148065733631</c:v>
                </c:pt>
                <c:pt idx="39">
                  <c:v>5.531481526089298</c:v>
                </c:pt>
                <c:pt idx="40">
                  <c:v>5.531481726457995</c:v>
                </c:pt>
                <c:pt idx="41">
                  <c:v>5.531481303294533</c:v>
                </c:pt>
                <c:pt idx="42">
                  <c:v>5.531481518613941</c:v>
                </c:pt>
                <c:pt idx="43">
                  <c:v>5.531481516122156</c:v>
                </c:pt>
                <c:pt idx="44">
                  <c:v>5.53148144601021</c:v>
                </c:pt>
                <c:pt idx="45">
                  <c:v>5.531481493582102</c:v>
                </c:pt>
                <c:pt idx="46">
                  <c:v>5.531481485238156</c:v>
                </c:pt>
                <c:pt idx="47">
                  <c:v>5.53148147494349</c:v>
                </c:pt>
                <c:pt idx="48">
                  <c:v>5.531481484587916</c:v>
                </c:pt>
                <c:pt idx="49">
                  <c:v>5.531481481589854</c:v>
                </c:pt>
                <c:pt idx="50">
                  <c:v>5.531481480373753</c:v>
                </c:pt>
                <c:pt idx="51">
                  <c:v>5.53148148218384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'(intern)'!$A$8</c:f>
              <c:strCache>
                <c:ptCount val="1"/>
                <c:pt idx="0">
                  <c:v>17:30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4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'(intern)'!$B$8:$BA$8</c:f>
              <c:numCache>
                <c:formatCode>0.0</c:formatCode>
                <c:ptCount val="52"/>
                <c:pt idx="0">
                  <c:v>6.944444444444444</c:v>
                </c:pt>
                <c:pt idx="1">
                  <c:v>8.277777777777779</c:v>
                </c:pt>
                <c:pt idx="2">
                  <c:v>7.055555555555555</c:v>
                </c:pt>
                <c:pt idx="3">
                  <c:v>5.0</c:v>
                </c:pt>
                <c:pt idx="4">
                  <c:v>9.166666666666666</c:v>
                </c:pt>
                <c:pt idx="5">
                  <c:v>6.0</c:v>
                </c:pt>
                <c:pt idx="6">
                  <c:v>9.166666666666666</c:v>
                </c:pt>
                <c:pt idx="7">
                  <c:v>6.9</c:v>
                </c:pt>
                <c:pt idx="8">
                  <c:v>8.2</c:v>
                </c:pt>
                <c:pt idx="9">
                  <c:v>6.4</c:v>
                </c:pt>
                <c:pt idx="10">
                  <c:v>5.0</c:v>
                </c:pt>
                <c:pt idx="11">
                  <c:v>9.2</c:v>
                </c:pt>
                <c:pt idx="12">
                  <c:v>4.9</c:v>
                </c:pt>
                <c:pt idx="13">
                  <c:v>6.8</c:v>
                </c:pt>
                <c:pt idx="14">
                  <c:v>8.2</c:v>
                </c:pt>
                <c:pt idx="15">
                  <c:v>6.633333333333332</c:v>
                </c:pt>
                <c:pt idx="16">
                  <c:v>7.211111111111111</c:v>
                </c:pt>
                <c:pt idx="17">
                  <c:v>7.348148148148148</c:v>
                </c:pt>
                <c:pt idx="18">
                  <c:v>7.064197530864198</c:v>
                </c:pt>
                <c:pt idx="19">
                  <c:v>7.207818930041153</c:v>
                </c:pt>
                <c:pt idx="20">
                  <c:v>7.206721536351166</c:v>
                </c:pt>
                <c:pt idx="21">
                  <c:v>7.15957933241884</c:v>
                </c:pt>
                <c:pt idx="22">
                  <c:v>7.191373266270387</c:v>
                </c:pt>
                <c:pt idx="23">
                  <c:v>7.185891378346798</c:v>
                </c:pt>
                <c:pt idx="24">
                  <c:v>7.178947992345342</c:v>
                </c:pt>
                <c:pt idx="25">
                  <c:v>7.185404212320843</c:v>
                </c:pt>
                <c:pt idx="26">
                  <c:v>7.183414527670994</c:v>
                </c:pt>
                <c:pt idx="27">
                  <c:v>7.18258891077906</c:v>
                </c:pt>
                <c:pt idx="28">
                  <c:v>7.183802550256966</c:v>
                </c:pt>
                <c:pt idx="29">
                  <c:v>7.18326866290234</c:v>
                </c:pt>
                <c:pt idx="30">
                  <c:v>7.18322004131279</c:v>
                </c:pt>
                <c:pt idx="31">
                  <c:v>7.183430418157365</c:v>
                </c:pt>
                <c:pt idx="32">
                  <c:v>7.183306374124164</c:v>
                </c:pt>
                <c:pt idx="33">
                  <c:v>7.18331894453144</c:v>
                </c:pt>
                <c:pt idx="34">
                  <c:v>7.183351912270989</c:v>
                </c:pt>
                <c:pt idx="35">
                  <c:v>7.183325743642197</c:v>
                </c:pt>
                <c:pt idx="36">
                  <c:v>7.183332200148208</c:v>
                </c:pt>
                <c:pt idx="37">
                  <c:v>7.183336618687131</c:v>
                </c:pt>
                <c:pt idx="38">
                  <c:v>7.183331520825845</c:v>
                </c:pt>
                <c:pt idx="39">
                  <c:v>7.183333446553728</c:v>
                </c:pt>
                <c:pt idx="40">
                  <c:v>7.183333862022235</c:v>
                </c:pt>
                <c:pt idx="41">
                  <c:v>7.183332943133936</c:v>
                </c:pt>
                <c:pt idx="42">
                  <c:v>7.183333417236633</c:v>
                </c:pt>
                <c:pt idx="43">
                  <c:v>7.183333407464267</c:v>
                </c:pt>
                <c:pt idx="44">
                  <c:v>7.183333255944945</c:v>
                </c:pt>
                <c:pt idx="45">
                  <c:v>7.183333360215282</c:v>
                </c:pt>
                <c:pt idx="46">
                  <c:v>7.183333341208165</c:v>
                </c:pt>
                <c:pt idx="47">
                  <c:v>7.183333319122798</c:v>
                </c:pt>
                <c:pt idx="48">
                  <c:v>7.183333340182082</c:v>
                </c:pt>
                <c:pt idx="49">
                  <c:v>7.183333333504347</c:v>
                </c:pt>
                <c:pt idx="50">
                  <c:v>7.183333330936409</c:v>
                </c:pt>
                <c:pt idx="51">
                  <c:v>7.18333333487428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'(intern)'!$A$9</c:f>
              <c:strCache>
                <c:ptCount val="1"/>
                <c:pt idx="0">
                  <c:v>20:00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FF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'(intern)'!$B$9:$BA$9</c:f>
              <c:numCache>
                <c:formatCode>0.0</c:formatCode>
                <c:ptCount val="52"/>
                <c:pt idx="0">
                  <c:v>7.722222222222222</c:v>
                </c:pt>
                <c:pt idx="1">
                  <c:v>10.72222222222222</c:v>
                </c:pt>
                <c:pt idx="2">
                  <c:v>9.222222222222221</c:v>
                </c:pt>
                <c:pt idx="3">
                  <c:v>11.94444444444444</c:v>
                </c:pt>
                <c:pt idx="4">
                  <c:v>10.66666666666667</c:v>
                </c:pt>
                <c:pt idx="5">
                  <c:v>5.944444444444444</c:v>
                </c:pt>
                <c:pt idx="6">
                  <c:v>10.72222222222222</c:v>
                </c:pt>
                <c:pt idx="7">
                  <c:v>7.7</c:v>
                </c:pt>
                <c:pt idx="8">
                  <c:v>10.7</c:v>
                </c:pt>
                <c:pt idx="9">
                  <c:v>7.0</c:v>
                </c:pt>
                <c:pt idx="10">
                  <c:v>11.9</c:v>
                </c:pt>
                <c:pt idx="11">
                  <c:v>10.8</c:v>
                </c:pt>
                <c:pt idx="12">
                  <c:v>5.2</c:v>
                </c:pt>
                <c:pt idx="13">
                  <c:v>5.2</c:v>
                </c:pt>
                <c:pt idx="14">
                  <c:v>8.7</c:v>
                </c:pt>
                <c:pt idx="15">
                  <c:v>6.366666666666667</c:v>
                </c:pt>
                <c:pt idx="16">
                  <c:v>6.755555555555555</c:v>
                </c:pt>
                <c:pt idx="17">
                  <c:v>7.274074074074074</c:v>
                </c:pt>
                <c:pt idx="18">
                  <c:v>6.798765432098765</c:v>
                </c:pt>
                <c:pt idx="19">
                  <c:v>6.942798353909465</c:v>
                </c:pt>
                <c:pt idx="20">
                  <c:v>7.005212620027436</c:v>
                </c:pt>
                <c:pt idx="21">
                  <c:v>6.915592135345222</c:v>
                </c:pt>
                <c:pt idx="22">
                  <c:v>6.954534369760708</c:v>
                </c:pt>
                <c:pt idx="23">
                  <c:v>6.958446375044455</c:v>
                </c:pt>
                <c:pt idx="24">
                  <c:v>6.942857626716795</c:v>
                </c:pt>
                <c:pt idx="25">
                  <c:v>6.951946123840652</c:v>
                </c:pt>
                <c:pt idx="26">
                  <c:v>6.951083375200634</c:v>
                </c:pt>
                <c:pt idx="27">
                  <c:v>6.94862904191936</c:v>
                </c:pt>
                <c:pt idx="28">
                  <c:v>6.950552846986883</c:v>
                </c:pt>
                <c:pt idx="29">
                  <c:v>6.95008842136896</c:v>
                </c:pt>
                <c:pt idx="30">
                  <c:v>6.949756770091735</c:v>
                </c:pt>
                <c:pt idx="31">
                  <c:v>6.950132679482526</c:v>
                </c:pt>
                <c:pt idx="32">
                  <c:v>6.94999262364774</c:v>
                </c:pt>
                <c:pt idx="33">
                  <c:v>6.949960691074</c:v>
                </c:pt>
                <c:pt idx="34">
                  <c:v>6.950028664734755</c:v>
                </c:pt>
                <c:pt idx="35">
                  <c:v>6.949993993152165</c:v>
                </c:pt>
                <c:pt idx="36">
                  <c:v>6.94999444965364</c:v>
                </c:pt>
                <c:pt idx="37">
                  <c:v>6.95000570251352</c:v>
                </c:pt>
                <c:pt idx="38">
                  <c:v>6.949998048439776</c:v>
                </c:pt>
                <c:pt idx="39">
                  <c:v>6.949999400202313</c:v>
                </c:pt>
                <c:pt idx="40">
                  <c:v>6.950001050385204</c:v>
                </c:pt>
                <c:pt idx="41">
                  <c:v>6.949999499675764</c:v>
                </c:pt>
                <c:pt idx="42">
                  <c:v>6.949999983421093</c:v>
                </c:pt>
                <c:pt idx="43">
                  <c:v>6.950000177827355</c:v>
                </c:pt>
                <c:pt idx="44">
                  <c:v>6.949999886974738</c:v>
                </c:pt>
                <c:pt idx="45">
                  <c:v>6.950000016074395</c:v>
                </c:pt>
                <c:pt idx="46">
                  <c:v>6.95000002695883</c:v>
                </c:pt>
                <c:pt idx="47">
                  <c:v>6.94999997666932</c:v>
                </c:pt>
                <c:pt idx="48">
                  <c:v>6.950000006567515</c:v>
                </c:pt>
                <c:pt idx="49">
                  <c:v>6.950000003398554</c:v>
                </c:pt>
                <c:pt idx="50">
                  <c:v>6.94999999554513</c:v>
                </c:pt>
                <c:pt idx="51">
                  <c:v>6.950000001837065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'(intern)'!$A$10</c:f>
              <c:strCache>
                <c:ptCount val="1"/>
                <c:pt idx="0">
                  <c:v>23:00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6"/>
            <c:spPr>
              <a:solidFill>
                <a:srgbClr val="00CC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'(intern)'!$B$10:$BA$10</c:f>
              <c:numCache>
                <c:formatCode>0.0</c:formatCode>
                <c:ptCount val="52"/>
                <c:pt idx="0">
                  <c:v>7.388888888888889</c:v>
                </c:pt>
                <c:pt idx="1">
                  <c:v>9.0</c:v>
                </c:pt>
                <c:pt idx="2">
                  <c:v>7.555555555555555</c:v>
                </c:pt>
                <c:pt idx="3">
                  <c:v>5.277777777777778</c:v>
                </c:pt>
                <c:pt idx="4">
                  <c:v>9.722222222222221</c:v>
                </c:pt>
                <c:pt idx="5">
                  <c:v>10.0</c:v>
                </c:pt>
                <c:pt idx="6">
                  <c:v>7.222222222222222</c:v>
                </c:pt>
                <c:pt idx="7">
                  <c:v>7.4</c:v>
                </c:pt>
                <c:pt idx="8">
                  <c:v>9.0</c:v>
                </c:pt>
                <c:pt idx="9">
                  <c:v>7.6</c:v>
                </c:pt>
                <c:pt idx="10">
                  <c:v>5.3</c:v>
                </c:pt>
                <c:pt idx="11">
                  <c:v>9.7</c:v>
                </c:pt>
                <c:pt idx="12">
                  <c:v>7.533333333333332</c:v>
                </c:pt>
                <c:pt idx="13">
                  <c:v>5.3</c:v>
                </c:pt>
                <c:pt idx="14">
                  <c:v>7.9</c:v>
                </c:pt>
                <c:pt idx="15">
                  <c:v>6.911111111111111</c:v>
                </c:pt>
                <c:pt idx="16">
                  <c:v>6.703703703703703</c:v>
                </c:pt>
                <c:pt idx="17">
                  <c:v>7.171604938271605</c:v>
                </c:pt>
                <c:pt idx="18">
                  <c:v>6.92880658436214</c:v>
                </c:pt>
                <c:pt idx="19">
                  <c:v>6.934705075445816</c:v>
                </c:pt>
                <c:pt idx="20">
                  <c:v>7.011705532693187</c:v>
                </c:pt>
                <c:pt idx="21">
                  <c:v>6.958405730833714</c:v>
                </c:pt>
                <c:pt idx="22">
                  <c:v>6.968272112990906</c:v>
                </c:pt>
                <c:pt idx="23">
                  <c:v>6.979461125505935</c:v>
                </c:pt>
                <c:pt idx="24">
                  <c:v>6.968712989776852</c:v>
                </c:pt>
                <c:pt idx="25">
                  <c:v>6.972148742757897</c:v>
                </c:pt>
                <c:pt idx="26">
                  <c:v>6.973440952680228</c:v>
                </c:pt>
                <c:pt idx="27">
                  <c:v>6.971434228404992</c:v>
                </c:pt>
                <c:pt idx="28">
                  <c:v>6.972341307947705</c:v>
                </c:pt>
                <c:pt idx="29">
                  <c:v>6.972405496344308</c:v>
                </c:pt>
                <c:pt idx="30">
                  <c:v>6.972060344232334</c:v>
                </c:pt>
                <c:pt idx="31">
                  <c:v>6.972269049508116</c:v>
                </c:pt>
                <c:pt idx="32">
                  <c:v>6.972244963361586</c:v>
                </c:pt>
                <c:pt idx="33">
                  <c:v>6.972191452367346</c:v>
                </c:pt>
                <c:pt idx="34">
                  <c:v>6.972235155079016</c:v>
                </c:pt>
                <c:pt idx="35">
                  <c:v>6.972223856935983</c:v>
                </c:pt>
                <c:pt idx="36">
                  <c:v>6.972216821460782</c:v>
                </c:pt>
                <c:pt idx="37">
                  <c:v>6.97222527782526</c:v>
                </c:pt>
                <c:pt idx="38">
                  <c:v>6.97222198540734</c:v>
                </c:pt>
                <c:pt idx="39">
                  <c:v>6.97222136156446</c:v>
                </c:pt>
                <c:pt idx="40">
                  <c:v>6.972222874932353</c:v>
                </c:pt>
                <c:pt idx="41">
                  <c:v>6.972222073968051</c:v>
                </c:pt>
                <c:pt idx="42">
                  <c:v>6.972222103488288</c:v>
                </c:pt>
                <c:pt idx="43">
                  <c:v>6.97222235079623</c:v>
                </c:pt>
                <c:pt idx="44">
                  <c:v>6.97222217608419</c:v>
                </c:pt>
                <c:pt idx="45">
                  <c:v>6.972222210122903</c:v>
                </c:pt>
                <c:pt idx="46">
                  <c:v>6.972222245667775</c:v>
                </c:pt>
                <c:pt idx="47">
                  <c:v>6.972222210624956</c:v>
                </c:pt>
                <c:pt idx="48">
                  <c:v>6.972222222138545</c:v>
                </c:pt>
                <c:pt idx="49">
                  <c:v>6.97222222614376</c:v>
                </c:pt>
                <c:pt idx="50">
                  <c:v>6.972222219635753</c:v>
                </c:pt>
                <c:pt idx="51">
                  <c:v>6.972222222639352</c:v>
                </c:pt>
              </c:numCache>
            </c:numRef>
          </c:val>
          <c:smooth val="1"/>
        </c:ser>
        <c:ser>
          <c:idx val="7"/>
          <c:order val="7"/>
          <c:tx>
            <c:strRef>
              <c:f>'(intern)'!$A$11</c:f>
              <c:strCache>
                <c:ptCount val="1"/>
                <c:pt idx="0">
                  <c:v>Nacht</c:v>
                </c:pt>
              </c:strCache>
            </c:strRef>
          </c:tx>
          <c:spPr>
            <a:ln w="3175">
              <a:noFill/>
              <a:prstDash val="sysDash"/>
            </a:ln>
          </c:spPr>
          <c:marker>
            <c:symbol val="square"/>
            <c:size val="8"/>
            <c:spPr>
              <a:solidFill>
                <a:srgbClr val="CC99FF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'(intern)'!$B$11:$BA$11</c:f>
              <c:numCache>
                <c:formatCode>0.0</c:formatCode>
                <c:ptCount val="52"/>
                <c:pt idx="0">
                  <c:v>5.888888888888889</c:v>
                </c:pt>
                <c:pt idx="1">
                  <c:v>5.666666666666667</c:v>
                </c:pt>
                <c:pt idx="2">
                  <c:v>6.5</c:v>
                </c:pt>
                <c:pt idx="3">
                  <c:v>6.555555555555555</c:v>
                </c:pt>
                <c:pt idx="4">
                  <c:v>6.5</c:v>
                </c:pt>
                <c:pt idx="5">
                  <c:v>5.277777777777778</c:v>
                </c:pt>
                <c:pt idx="6">
                  <c:v>5.555555555555555</c:v>
                </c:pt>
                <c:pt idx="7">
                  <c:v>5.9</c:v>
                </c:pt>
                <c:pt idx="8">
                  <c:v>5.8</c:v>
                </c:pt>
                <c:pt idx="9">
                  <c:v>6.5</c:v>
                </c:pt>
                <c:pt idx="10">
                  <c:v>6.6</c:v>
                </c:pt>
                <c:pt idx="11">
                  <c:v>6.5</c:v>
                </c:pt>
                <c:pt idx="12">
                  <c:v>6.533333333333334</c:v>
                </c:pt>
                <c:pt idx="13">
                  <c:v>5.8</c:v>
                </c:pt>
                <c:pt idx="14">
                  <c:v>6.1</c:v>
                </c:pt>
                <c:pt idx="15">
                  <c:v>6.144444444444445</c:v>
                </c:pt>
                <c:pt idx="16">
                  <c:v>6.014814814814815</c:v>
                </c:pt>
                <c:pt idx="17">
                  <c:v>6.08641975308642</c:v>
                </c:pt>
                <c:pt idx="18">
                  <c:v>6.081893004115226</c:v>
                </c:pt>
                <c:pt idx="19">
                  <c:v>6.061042524005487</c:v>
                </c:pt>
                <c:pt idx="20">
                  <c:v>6.076451760402377</c:v>
                </c:pt>
                <c:pt idx="21">
                  <c:v>6.073129096174363</c:v>
                </c:pt>
                <c:pt idx="22">
                  <c:v>6.07020779352741</c:v>
                </c:pt>
                <c:pt idx="23">
                  <c:v>6.07326288336805</c:v>
                </c:pt>
                <c:pt idx="24">
                  <c:v>6.072199924356606</c:v>
                </c:pt>
                <c:pt idx="25">
                  <c:v>6.071890200417354</c:v>
                </c:pt>
                <c:pt idx="26">
                  <c:v>6.072451002714003</c:v>
                </c:pt>
                <c:pt idx="27">
                  <c:v>6.072180375829322</c:v>
                </c:pt>
                <c:pt idx="28">
                  <c:v>6.07217385965356</c:v>
                </c:pt>
                <c:pt idx="29">
                  <c:v>6.072268412732294</c:v>
                </c:pt>
                <c:pt idx="30">
                  <c:v>6.07220754940506</c:v>
                </c:pt>
                <c:pt idx="31">
                  <c:v>6.072216607263638</c:v>
                </c:pt>
                <c:pt idx="32">
                  <c:v>6.072230856466998</c:v>
                </c:pt>
                <c:pt idx="33">
                  <c:v>6.072218337711899</c:v>
                </c:pt>
                <c:pt idx="34">
                  <c:v>6.072221933814177</c:v>
                </c:pt>
                <c:pt idx="35">
                  <c:v>6.072223709331024</c:v>
                </c:pt>
                <c:pt idx="36">
                  <c:v>6.072221326952366</c:v>
                </c:pt>
                <c:pt idx="37">
                  <c:v>6.072222323365856</c:v>
                </c:pt>
                <c:pt idx="38">
                  <c:v>6.072222453216415</c:v>
                </c:pt>
                <c:pt idx="39">
                  <c:v>6.072222034511546</c:v>
                </c:pt>
                <c:pt idx="40">
                  <c:v>6.072222270364606</c:v>
                </c:pt>
                <c:pt idx="41">
                  <c:v>6.072222252697522</c:v>
                </c:pt>
                <c:pt idx="42">
                  <c:v>6.07222218585789</c:v>
                </c:pt>
                <c:pt idx="43">
                  <c:v>6.072222236306673</c:v>
                </c:pt>
                <c:pt idx="44">
                  <c:v>6.072222224954028</c:v>
                </c:pt>
                <c:pt idx="45">
                  <c:v>6.072222215706197</c:v>
                </c:pt>
                <c:pt idx="46">
                  <c:v>6.072222225655632</c:v>
                </c:pt>
                <c:pt idx="47">
                  <c:v>6.072222222105286</c:v>
                </c:pt>
                <c:pt idx="48">
                  <c:v>6.072222221155705</c:v>
                </c:pt>
                <c:pt idx="49">
                  <c:v>6.072222222972207</c:v>
                </c:pt>
                <c:pt idx="50">
                  <c:v>6.072222222077733</c:v>
                </c:pt>
                <c:pt idx="51">
                  <c:v>6.07222222206855</c:v>
                </c:pt>
              </c:numCache>
            </c:numRef>
          </c:val>
          <c:smooth val="1"/>
        </c:ser>
        <c:ser>
          <c:idx val="8"/>
          <c:order val="8"/>
          <c:tx>
            <c:strRef>
              <c:f>'(intern)'!$A$12</c:f>
              <c:strCache>
                <c:ptCount val="1"/>
                <c:pt idx="0">
                  <c:v>Früh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6"/>
            <c:spPr>
              <a:solidFill>
                <a:srgbClr val="CCFFCC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'(intern)'!$B$12:$BA$12</c:f>
              <c:numCache>
                <c:formatCode>0.0</c:formatCode>
                <c:ptCount val="52"/>
                <c:pt idx="0">
                  <c:v>6.166666666666667</c:v>
                </c:pt>
                <c:pt idx="1">
                  <c:v>6.111111111111111</c:v>
                </c:pt>
                <c:pt idx="2">
                  <c:v>6.0</c:v>
                </c:pt>
                <c:pt idx="3">
                  <c:v>6.222222222222222</c:v>
                </c:pt>
                <c:pt idx="4">
                  <c:v>6.0</c:v>
                </c:pt>
                <c:pt idx="5">
                  <c:v>6.277777777777778</c:v>
                </c:pt>
                <c:pt idx="6">
                  <c:v>6.222222222222222</c:v>
                </c:pt>
                <c:pt idx="7">
                  <c:v>6.166666666666667</c:v>
                </c:pt>
                <c:pt idx="8">
                  <c:v>6.222222222222222</c:v>
                </c:pt>
                <c:pt idx="9">
                  <c:v>6.0</c:v>
                </c:pt>
                <c:pt idx="10">
                  <c:v>6.2</c:v>
                </c:pt>
                <c:pt idx="11">
                  <c:v>6.14074074074074</c:v>
                </c:pt>
                <c:pt idx="12">
                  <c:v>6.113580246913579</c:v>
                </c:pt>
                <c:pt idx="13">
                  <c:v>6.2</c:v>
                </c:pt>
                <c:pt idx="14">
                  <c:v>6.3</c:v>
                </c:pt>
                <c:pt idx="15">
                  <c:v>6.204526748971193</c:v>
                </c:pt>
                <c:pt idx="16">
                  <c:v>6.234842249657064</c:v>
                </c:pt>
                <c:pt idx="17">
                  <c:v>6.246456332876086</c:v>
                </c:pt>
                <c:pt idx="18">
                  <c:v>6.22860844383478</c:v>
                </c:pt>
                <c:pt idx="19">
                  <c:v>6.236635675455976</c:v>
                </c:pt>
                <c:pt idx="20">
                  <c:v>6.237233484055614</c:v>
                </c:pt>
                <c:pt idx="21">
                  <c:v>6.234159201115457</c:v>
                </c:pt>
                <c:pt idx="22">
                  <c:v>6.236009453542348</c:v>
                </c:pt>
                <c:pt idx="23">
                  <c:v>6.235800712904473</c:v>
                </c:pt>
                <c:pt idx="24">
                  <c:v>6.23532312252076</c:v>
                </c:pt>
                <c:pt idx="25">
                  <c:v>6.235711096322527</c:v>
                </c:pt>
                <c:pt idx="26">
                  <c:v>6.23561164391592</c:v>
                </c:pt>
                <c:pt idx="27">
                  <c:v>6.235548620919736</c:v>
                </c:pt>
                <c:pt idx="28">
                  <c:v>6.235623787052728</c:v>
                </c:pt>
                <c:pt idx="29">
                  <c:v>6.235594683962794</c:v>
                </c:pt>
                <c:pt idx="30">
                  <c:v>6.235589030645086</c:v>
                </c:pt>
                <c:pt idx="31">
                  <c:v>6.235602500553536</c:v>
                </c:pt>
                <c:pt idx="32">
                  <c:v>6.235595405053806</c:v>
                </c:pt>
                <c:pt idx="33">
                  <c:v>6.235595645417477</c:v>
                </c:pt>
                <c:pt idx="34">
                  <c:v>6.235597850341606</c:v>
                </c:pt>
                <c:pt idx="35">
                  <c:v>6.235596300270963</c:v>
                </c:pt>
                <c:pt idx="36">
                  <c:v>6.235596598676682</c:v>
                </c:pt>
                <c:pt idx="37">
                  <c:v>6.23559691642975</c:v>
                </c:pt>
                <c:pt idx="38">
                  <c:v>6.235596605125798</c:v>
                </c:pt>
                <c:pt idx="39">
                  <c:v>6.235596706744076</c:v>
                </c:pt>
                <c:pt idx="40">
                  <c:v>6.235596742766542</c:v>
                </c:pt>
                <c:pt idx="41">
                  <c:v>6.235596684878806</c:v>
                </c:pt>
                <c:pt idx="42">
                  <c:v>6.235596711463141</c:v>
                </c:pt>
                <c:pt idx="43">
                  <c:v>6.235596713036163</c:v>
                </c:pt>
                <c:pt idx="44">
                  <c:v>6.235596703126037</c:v>
                </c:pt>
                <c:pt idx="45">
                  <c:v>6.235596709208448</c:v>
                </c:pt>
                <c:pt idx="46">
                  <c:v>6.235596708456883</c:v>
                </c:pt>
                <c:pt idx="47">
                  <c:v>6.235596706930456</c:v>
                </c:pt>
                <c:pt idx="48">
                  <c:v>6.235596708198595</c:v>
                </c:pt>
                <c:pt idx="49">
                  <c:v>6.235596707861977</c:v>
                </c:pt>
                <c:pt idx="50">
                  <c:v>6.235596707663675</c:v>
                </c:pt>
                <c:pt idx="51">
                  <c:v>6.235596707908082</c:v>
                </c:pt>
              </c:numCache>
            </c:numRef>
          </c:val>
          <c:smooth val="1"/>
        </c:ser>
        <c:ser>
          <c:idx val="10"/>
          <c:order val="9"/>
          <c:tx>
            <c:strRef>
              <c:f>'(intern)'!$A$16</c:f>
              <c:strCache>
                <c:ptCount val="1"/>
                <c:pt idx="0">
                  <c:v>GL-MW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'(intern)'!$B$16:$BA$16</c:f>
              <c:numCache>
                <c:formatCode>0.0</c:formatCode>
                <c:ptCount val="52"/>
                <c:pt idx="0">
                  <c:v>6.928571428571428</c:v>
                </c:pt>
                <c:pt idx="1">
                  <c:v>7.146825396825397</c:v>
                </c:pt>
                <c:pt idx="2">
                  <c:v>7.121693121693122</c:v>
                </c:pt>
                <c:pt idx="3">
                  <c:v>7.083333333333333</c:v>
                </c:pt>
                <c:pt idx="4">
                  <c:v>7.375</c:v>
                </c:pt>
                <c:pt idx="5">
                  <c:v>7.305555555555555</c:v>
                </c:pt>
                <c:pt idx="6">
                  <c:v>7.47420634920635</c:v>
                </c:pt>
                <c:pt idx="7">
                  <c:v>7.463095238095238</c:v>
                </c:pt>
                <c:pt idx="8">
                  <c:v>7.282936507936507</c:v>
                </c:pt>
                <c:pt idx="9">
                  <c:v>7.274074074074074</c:v>
                </c:pt>
                <c:pt idx="10">
                  <c:v>7.058994708994708</c:v>
                </c:pt>
                <c:pt idx="11">
                  <c:v>7.359259259259259</c:v>
                </c:pt>
                <c:pt idx="12">
                  <c:v>7.032760141093474</c:v>
                </c:pt>
                <c:pt idx="13">
                  <c:v>6.898059964726632</c:v>
                </c:pt>
                <c:pt idx="14">
                  <c:v>6.901146384479718</c:v>
                </c:pt>
                <c:pt idx="15">
                  <c:v>6.490329218106996</c:v>
                </c:pt>
                <c:pt idx="16">
                  <c:v>6.627993337252596</c:v>
                </c:pt>
                <c:pt idx="17">
                  <c:v>6.775287412633092</c:v>
                </c:pt>
                <c:pt idx="18">
                  <c:v>6.624192740653646</c:v>
                </c:pt>
                <c:pt idx="19">
                  <c:v>6.671723967745915</c:v>
                </c:pt>
                <c:pt idx="20">
                  <c:v>6.689210897487075</c:v>
                </c:pt>
                <c:pt idx="21">
                  <c:v>6.661709201962212</c:v>
                </c:pt>
                <c:pt idx="22">
                  <c:v>6.674214689065067</c:v>
                </c:pt>
                <c:pt idx="23">
                  <c:v>6.675044929504785</c:v>
                </c:pt>
                <c:pt idx="24">
                  <c:v>6.670322940177356</c:v>
                </c:pt>
                <c:pt idx="25">
                  <c:v>6.67319418624907</c:v>
                </c:pt>
                <c:pt idx="26">
                  <c:v>6.672854018643737</c:v>
                </c:pt>
                <c:pt idx="27">
                  <c:v>6.672123715023387</c:v>
                </c:pt>
                <c:pt idx="28">
                  <c:v>6.672723973305397</c:v>
                </c:pt>
                <c:pt idx="29">
                  <c:v>6.672567235657508</c:v>
                </c:pt>
                <c:pt idx="30">
                  <c:v>6.672471641328764</c:v>
                </c:pt>
                <c:pt idx="31">
                  <c:v>6.67258761676389</c:v>
                </c:pt>
                <c:pt idx="32">
                  <c:v>6.672542164583385</c:v>
                </c:pt>
                <c:pt idx="33">
                  <c:v>6.672533807558681</c:v>
                </c:pt>
                <c:pt idx="34">
                  <c:v>6.67255452963532</c:v>
                </c:pt>
                <c:pt idx="35">
                  <c:v>6.672543500592463</c:v>
                </c:pt>
                <c:pt idx="36">
                  <c:v>6.67254394592882</c:v>
                </c:pt>
                <c:pt idx="37">
                  <c:v>6.672547325385533</c:v>
                </c:pt>
                <c:pt idx="38">
                  <c:v>6.672544923968939</c:v>
                </c:pt>
                <c:pt idx="39">
                  <c:v>6.672545398427765</c:v>
                </c:pt>
                <c:pt idx="40">
                  <c:v>6.67254588259408</c:v>
                </c:pt>
                <c:pt idx="41">
                  <c:v>6.672545401663594</c:v>
                </c:pt>
                <c:pt idx="42">
                  <c:v>6.672545560895145</c:v>
                </c:pt>
                <c:pt idx="43">
                  <c:v>6.672545615050938</c:v>
                </c:pt>
                <c:pt idx="44">
                  <c:v>6.672545525869893</c:v>
                </c:pt>
                <c:pt idx="45">
                  <c:v>6.672545567271992</c:v>
                </c:pt>
                <c:pt idx="46">
                  <c:v>6.672545569397608</c:v>
                </c:pt>
                <c:pt idx="47">
                  <c:v>6.672545554179832</c:v>
                </c:pt>
                <c:pt idx="48">
                  <c:v>6.672545563616477</c:v>
                </c:pt>
                <c:pt idx="49">
                  <c:v>6.672545562397972</c:v>
                </c:pt>
                <c:pt idx="50">
                  <c:v>6.67254556006476</c:v>
                </c:pt>
                <c:pt idx="51">
                  <c:v>6.672545562026402</c:v>
                </c:pt>
              </c:numCache>
            </c:numRef>
          </c:val>
          <c:smooth val="1"/>
        </c:ser>
        <c:ser>
          <c:idx val="11"/>
          <c:order val="10"/>
          <c:tx>
            <c:strRef>
              <c:f>'(intern)'!$A$15</c:f>
              <c:strCache>
                <c:ptCount val="1"/>
                <c:pt idx="0">
                  <c:v>max</c:v>
                </c:pt>
              </c:strCache>
            </c:strRef>
          </c:tx>
          <c:spPr>
            <a:ln w="25400">
              <a:solidFill>
                <a:srgbClr val="FF99CC"/>
              </a:solidFill>
              <a:prstDash val="solid"/>
            </a:ln>
          </c:spPr>
          <c:marker>
            <c:symbol val="none"/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'(intern)'!$B$15:$BA$15</c:f>
              <c:numCache>
                <c:formatCode>0.0</c:formatCode>
                <c:ptCount val="52"/>
                <c:pt idx="0">
                  <c:v>10.61111111111111</c:v>
                </c:pt>
                <c:pt idx="1">
                  <c:v>10.72222222222222</c:v>
                </c:pt>
                <c:pt idx="2">
                  <c:v>10.38888888888889</c:v>
                </c:pt>
                <c:pt idx="3">
                  <c:v>11.94444444444444</c:v>
                </c:pt>
                <c:pt idx="4">
                  <c:v>10.66666666666667</c:v>
                </c:pt>
                <c:pt idx="5">
                  <c:v>12.11111111111111</c:v>
                </c:pt>
                <c:pt idx="6">
                  <c:v>10.72222222222222</c:v>
                </c:pt>
                <c:pt idx="7">
                  <c:v>10.6</c:v>
                </c:pt>
                <c:pt idx="8">
                  <c:v>10.7</c:v>
                </c:pt>
                <c:pt idx="9">
                  <c:v>10.3</c:v>
                </c:pt>
                <c:pt idx="10">
                  <c:v>11.9</c:v>
                </c:pt>
                <c:pt idx="11">
                  <c:v>10.8</c:v>
                </c:pt>
                <c:pt idx="12">
                  <c:v>9.6</c:v>
                </c:pt>
                <c:pt idx="13">
                  <c:v>10.13333333333333</c:v>
                </c:pt>
                <c:pt idx="14">
                  <c:v>9.4</c:v>
                </c:pt>
                <c:pt idx="15">
                  <c:v>9.71111111111111</c:v>
                </c:pt>
                <c:pt idx="16">
                  <c:v>9.748148148148147</c:v>
                </c:pt>
                <c:pt idx="17">
                  <c:v>9.619753086419752</c:v>
                </c:pt>
                <c:pt idx="18">
                  <c:v>9.693004115226335</c:v>
                </c:pt>
                <c:pt idx="19">
                  <c:v>9.686968449931411</c:v>
                </c:pt>
                <c:pt idx="20">
                  <c:v>9.6665752171925</c:v>
                </c:pt>
                <c:pt idx="21">
                  <c:v>9.682182594116747</c:v>
                </c:pt>
                <c:pt idx="22">
                  <c:v>9.678575420413553</c:v>
                </c:pt>
                <c:pt idx="23">
                  <c:v>9.6757777439076</c:v>
                </c:pt>
                <c:pt idx="24">
                  <c:v>9.678845252812633</c:v>
                </c:pt>
                <c:pt idx="25">
                  <c:v>9.677732805711263</c:v>
                </c:pt>
                <c:pt idx="26">
                  <c:v>9.677451934143831</c:v>
                </c:pt>
                <c:pt idx="27">
                  <c:v>9.67800999755591</c:v>
                </c:pt>
                <c:pt idx="28">
                  <c:v>9.677731579137002</c:v>
                </c:pt>
                <c:pt idx="29">
                  <c:v>9.677731170278915</c:v>
                </c:pt>
                <c:pt idx="30">
                  <c:v>9.67782424899061</c:v>
                </c:pt>
                <c:pt idx="31">
                  <c:v>9.677762332802176</c:v>
                </c:pt>
                <c:pt idx="32">
                  <c:v>9.6777725840239</c:v>
                </c:pt>
                <c:pt idx="33">
                  <c:v>9.67778638860556</c:v>
                </c:pt>
                <c:pt idx="34">
                  <c:v>9.677773768477213</c:v>
                </c:pt>
                <c:pt idx="35">
                  <c:v>9.677777580368891</c:v>
                </c:pt>
                <c:pt idx="36">
                  <c:v>9.677779245817221</c:v>
                </c:pt>
                <c:pt idx="37">
                  <c:v>9.677776864887775</c:v>
                </c:pt>
                <c:pt idx="38">
                  <c:v>9.67777789702463</c:v>
                </c:pt>
                <c:pt idx="39">
                  <c:v>9.677778002576542</c:v>
                </c:pt>
                <c:pt idx="40">
                  <c:v>9.677777588162982</c:v>
                </c:pt>
                <c:pt idx="41">
                  <c:v>9.677777829254717</c:v>
                </c:pt>
                <c:pt idx="42">
                  <c:v>9.677777806664748</c:v>
                </c:pt>
                <c:pt idx="43">
                  <c:v>9.677777741360815</c:v>
                </c:pt>
                <c:pt idx="44">
                  <c:v>9.67777779242676</c:v>
                </c:pt>
                <c:pt idx="45">
                  <c:v>9.677777780150775</c:v>
                </c:pt>
                <c:pt idx="46">
                  <c:v>9.677777771312783</c:v>
                </c:pt>
                <c:pt idx="47">
                  <c:v>9.677777781296774</c:v>
                </c:pt>
                <c:pt idx="48">
                  <c:v>9.677777777586778</c:v>
                </c:pt>
                <c:pt idx="49">
                  <c:v>9.677777776732112</c:v>
                </c:pt>
                <c:pt idx="50">
                  <c:v>9.677777778538555</c:v>
                </c:pt>
                <c:pt idx="51">
                  <c:v>9.677777777619148</c:v>
                </c:pt>
              </c:numCache>
            </c:numRef>
          </c:val>
          <c:smooth val="0"/>
        </c:ser>
        <c:ser>
          <c:idx val="12"/>
          <c:order val="11"/>
          <c:tx>
            <c:strRef>
              <c:f>'(intern)'!$A$14</c:f>
              <c:strCache>
                <c:ptCount val="1"/>
                <c:pt idx="0">
                  <c:v>min</c:v>
                </c:pt>
              </c:strCache>
            </c:strRef>
          </c:tx>
          <c:spPr>
            <a:ln w="25400">
              <a:solidFill>
                <a:srgbClr val="9999FF"/>
              </a:solidFill>
              <a:prstDash val="solid"/>
            </a:ln>
          </c:spPr>
          <c:marker>
            <c:symbol val="none"/>
          </c:marker>
          <c:cat>
            <c:strRef>
              <c:f>'(intern)'!$B$2:$BA$2</c:f>
              <c:strCache>
                <c:ptCount val="49"/>
                <c:pt idx="0">
                  <c:v>Jan 17</c:v>
                </c:pt>
                <c:pt idx="5">
                  <c:v>Feb 17</c:v>
                </c:pt>
                <c:pt idx="9">
                  <c:v>März 17</c:v>
                </c:pt>
                <c:pt idx="13">
                  <c:v>Apr 17</c:v>
                </c:pt>
                <c:pt idx="18">
                  <c:v>Mai 17</c:v>
                </c:pt>
                <c:pt idx="22">
                  <c:v>Juni 17</c:v>
                </c:pt>
                <c:pt idx="26">
                  <c:v>Juli 17</c:v>
                </c:pt>
                <c:pt idx="31">
                  <c:v>Aug 17</c:v>
                </c:pt>
                <c:pt idx="35">
                  <c:v>Sep 17</c:v>
                </c:pt>
                <c:pt idx="39">
                  <c:v>Okt 17</c:v>
                </c:pt>
                <c:pt idx="44">
                  <c:v>Nov 17</c:v>
                </c:pt>
                <c:pt idx="48">
                  <c:v>Dez 17</c:v>
                </c:pt>
              </c:strCache>
            </c:strRef>
          </c:cat>
          <c:val>
            <c:numRef>
              <c:f>'(intern)'!$B$14:$BA$14</c:f>
              <c:numCache>
                <c:formatCode>0.0</c:formatCode>
                <c:ptCount val="52"/>
                <c:pt idx="0">
                  <c:v>4.777777777777778</c:v>
                </c:pt>
                <c:pt idx="1">
                  <c:v>5.666666666666667</c:v>
                </c:pt>
                <c:pt idx="2">
                  <c:v>6.0</c:v>
                </c:pt>
                <c:pt idx="3">
                  <c:v>5.0</c:v>
                </c:pt>
                <c:pt idx="4">
                  <c:v>6.0</c:v>
                </c:pt>
                <c:pt idx="5">
                  <c:v>5.277777777777778</c:v>
                </c:pt>
                <c:pt idx="6">
                  <c:v>5.555555555555555</c:v>
                </c:pt>
                <c:pt idx="7">
                  <c:v>4.8</c:v>
                </c:pt>
                <c:pt idx="8">
                  <c:v>5.8</c:v>
                </c:pt>
                <c:pt idx="9">
                  <c:v>6.0</c:v>
                </c:pt>
                <c:pt idx="10">
                  <c:v>5.0</c:v>
                </c:pt>
                <c:pt idx="11">
                  <c:v>6.0</c:v>
                </c:pt>
                <c:pt idx="12">
                  <c:v>4.5</c:v>
                </c:pt>
                <c:pt idx="13">
                  <c:v>5.2</c:v>
                </c:pt>
                <c:pt idx="14">
                  <c:v>5.9</c:v>
                </c:pt>
                <c:pt idx="15">
                  <c:v>5.281481481481481</c:v>
                </c:pt>
                <c:pt idx="16">
                  <c:v>5.541975308641976</c:v>
                </c:pt>
                <c:pt idx="17">
                  <c:v>5.607818930041152</c:v>
                </c:pt>
                <c:pt idx="18">
                  <c:v>5.477091906721536</c:v>
                </c:pt>
                <c:pt idx="19">
                  <c:v>5.542295381801555</c:v>
                </c:pt>
                <c:pt idx="20">
                  <c:v>5.542402072854748</c:v>
                </c:pt>
                <c:pt idx="21">
                  <c:v>5.520596453792614</c:v>
                </c:pt>
                <c:pt idx="22">
                  <c:v>5.535097969482972</c:v>
                </c:pt>
                <c:pt idx="23">
                  <c:v>5.532698832043444</c:v>
                </c:pt>
                <c:pt idx="24">
                  <c:v>5.529464418439676</c:v>
                </c:pt>
                <c:pt idx="25">
                  <c:v>5.532420406655364</c:v>
                </c:pt>
                <c:pt idx="26">
                  <c:v>5.531527885712828</c:v>
                </c:pt>
                <c:pt idx="27">
                  <c:v>5.531137570269291</c:v>
                </c:pt>
                <c:pt idx="28">
                  <c:v>5.531695287545827</c:v>
                </c:pt>
                <c:pt idx="29">
                  <c:v>5.531453581175982</c:v>
                </c:pt>
                <c:pt idx="30">
                  <c:v>5.531428812997032</c:v>
                </c:pt>
                <c:pt idx="31">
                  <c:v>5.531525893906281</c:v>
                </c:pt>
                <c:pt idx="32">
                  <c:v>5.531469429359764</c:v>
                </c:pt>
                <c:pt idx="33">
                  <c:v>5.531474712087692</c:v>
                </c:pt>
                <c:pt idx="34">
                  <c:v>5.53149001178458</c:v>
                </c:pt>
                <c:pt idx="35">
                  <c:v>5.531478051077345</c:v>
                </c:pt>
                <c:pt idx="36">
                  <c:v>5.531480924983205</c:v>
                </c:pt>
                <c:pt idx="37">
                  <c:v>5.531482995948376</c:v>
                </c:pt>
                <c:pt idx="38">
                  <c:v>5.53148065733631</c:v>
                </c:pt>
                <c:pt idx="39">
                  <c:v>5.531481526089298</c:v>
                </c:pt>
                <c:pt idx="40">
                  <c:v>5.531481726457995</c:v>
                </c:pt>
                <c:pt idx="41">
                  <c:v>5.531481303294533</c:v>
                </c:pt>
                <c:pt idx="42">
                  <c:v>5.531481518613941</c:v>
                </c:pt>
                <c:pt idx="43">
                  <c:v>5.531481516122156</c:v>
                </c:pt>
                <c:pt idx="44">
                  <c:v>5.53148144601021</c:v>
                </c:pt>
                <c:pt idx="45">
                  <c:v>5.531481493582102</c:v>
                </c:pt>
                <c:pt idx="46">
                  <c:v>5.531481485238156</c:v>
                </c:pt>
                <c:pt idx="47">
                  <c:v>5.53148147494349</c:v>
                </c:pt>
                <c:pt idx="48">
                  <c:v>5.531481484587916</c:v>
                </c:pt>
                <c:pt idx="49">
                  <c:v>5.531481481589854</c:v>
                </c:pt>
                <c:pt idx="50">
                  <c:v>5.531481480373753</c:v>
                </c:pt>
                <c:pt idx="51">
                  <c:v>5.53148148218384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143000"/>
        <c:axId val="2120147048"/>
      </c:lineChart>
      <c:catAx>
        <c:axId val="2120143000"/>
        <c:scaling>
          <c:orientation val="minMax"/>
        </c:scaling>
        <c:delete val="0"/>
        <c:axPos val="b"/>
        <c:numFmt formatCode="mm/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372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20147048"/>
        <c:crossesAt val="0.0"/>
        <c:auto val="1"/>
        <c:lblAlgn val="ctr"/>
        <c:lblOffset val="100"/>
        <c:tickMarkSkip val="1"/>
        <c:noMultiLvlLbl val="0"/>
      </c:catAx>
      <c:valAx>
        <c:axId val="2120147048"/>
        <c:scaling>
          <c:orientation val="minMax"/>
          <c:max val="14.0"/>
          <c:min val="0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20143000"/>
        <c:crosses val="autoZero"/>
        <c:crossBetween val="midCat"/>
        <c:majorUnit val="0.5"/>
        <c:minorUnit val="0.25"/>
      </c:valAx>
      <c:spPr>
        <a:solidFill>
          <a:srgbClr val="FFFFFF"/>
        </a:solidFill>
        <a:ln w="12700">
          <a:solidFill>
            <a:srgbClr val="969696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"/>
          <c:y val="0.379623049391553"/>
          <c:w val="0.0750012243755506"/>
          <c:h val="0.3862349319971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0" i="0" u="none" strike="noStrike" baseline="0">
                <a:solidFill>
                  <a:srgbClr val="003300"/>
                </a:solidFill>
                <a:latin typeface="Geneva"/>
                <a:ea typeface="Geneva"/>
                <a:cs typeface="Geneva"/>
              </a:defRPr>
            </a:pPr>
            <a:r>
              <a:rPr lang="de-DE" sz="950" b="0" i="0" u="none" strike="noStrike" baseline="0">
                <a:solidFill>
                  <a:srgbClr val="003300"/>
                </a:solidFill>
                <a:latin typeface="Geneva"/>
              </a:rPr>
              <a:t>Vergleich der </a:t>
            </a:r>
          </a:p>
          <a:p>
            <a:pPr>
              <a:defRPr sz="950" b="0" i="0" u="none" strike="noStrike" baseline="0">
                <a:solidFill>
                  <a:srgbClr val="003300"/>
                </a:solidFill>
                <a:latin typeface="Geneva"/>
                <a:ea typeface="Geneva"/>
                <a:cs typeface="Geneva"/>
              </a:defRPr>
            </a:pPr>
            <a:r>
              <a:rPr lang="de-DE" sz="950" b="0" i="0" u="none" strike="noStrike" baseline="0">
                <a:solidFill>
                  <a:srgbClr val="003300"/>
                </a:solidFill>
                <a:latin typeface="Geneva"/>
              </a:rPr>
              <a:t>PP - Werte</a:t>
            </a:r>
            <a:endParaRPr lang="de-DE"/>
          </a:p>
        </c:rich>
      </c:tx>
      <c:layout>
        <c:manualLayout>
          <c:xMode val="edge"/>
          <c:yMode val="edge"/>
          <c:x val="0.0422535211267606"/>
          <c:y val="0.043269230769230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52374862334605"/>
          <c:y val="0.0480770500457325"/>
          <c:w val="0.740991672723116"/>
          <c:h val="0.850963785809464"/>
        </c:manualLayout>
      </c:layout>
      <c:lineChart>
        <c:grouping val="standard"/>
        <c:varyColors val="0"/>
        <c:ser>
          <c:idx val="1"/>
          <c:order val="0"/>
          <c:tx>
            <c:strRef>
              <c:f>'(intern)'!$A$81</c:f>
              <c:strCache>
                <c:ptCount val="1"/>
                <c:pt idx="0">
                  <c:v>09:30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'(intern)'!$B$81:$L$81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5.0</c:v>
                </c:pt>
                <c:pt idx="7">
                  <c:v>7.0</c:v>
                </c:pt>
                <c:pt idx="8">
                  <c:v>1.0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3"/>
          <c:order val="1"/>
          <c:tx>
            <c:strRef>
              <c:f>'(intern)'!$A$83</c:f>
              <c:strCache>
                <c:ptCount val="1"/>
                <c:pt idx="0">
                  <c:v>14:30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'(intern)'!$B$83:$L$83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1.0</c:v>
                </c:pt>
                <c:pt idx="4">
                  <c:v>6.0</c:v>
                </c:pt>
                <c:pt idx="5">
                  <c:v>2.0</c:v>
                </c:pt>
                <c:pt idx="6">
                  <c:v>1.0</c:v>
                </c:pt>
                <c:pt idx="7">
                  <c:v>2.0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5"/>
          <c:order val="2"/>
          <c:tx>
            <c:strRef>
              <c:f>'(intern)'!$A$85</c:f>
              <c:strCache>
                <c:ptCount val="1"/>
                <c:pt idx="0">
                  <c:v>20:00</c:v>
                </c:pt>
              </c:strCache>
            </c:strRef>
          </c:tx>
          <c:spPr>
            <a:ln w="38100">
              <a:solidFill>
                <a:srgbClr val="0033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'(intern)'!$B$85:$L$85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3.0</c:v>
                </c:pt>
                <c:pt idx="5">
                  <c:v>3.0</c:v>
                </c:pt>
                <c:pt idx="6">
                  <c:v>1.0</c:v>
                </c:pt>
                <c:pt idx="7">
                  <c:v>5.0</c:v>
                </c:pt>
                <c:pt idx="8">
                  <c:v>2.0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10"/>
          <c:order val="3"/>
          <c:tx>
            <c:strRef>
              <c:f>'(intern)'!$A$92</c:f>
              <c:strCache>
                <c:ptCount val="1"/>
                <c:pt idx="0">
                  <c:v>Gauß 8,0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'(intern)'!$B$92:$L$92</c:f>
              <c:numCache>
                <c:formatCode>General</c:formatCode>
                <c:ptCount val="11"/>
                <c:pt idx="1">
                  <c:v>1.0</c:v>
                </c:pt>
                <c:pt idx="2">
                  <c:v>7.0</c:v>
                </c:pt>
                <c:pt idx="3">
                  <c:v>21.0</c:v>
                </c:pt>
                <c:pt idx="4">
                  <c:v>35.0</c:v>
                </c:pt>
                <c:pt idx="5">
                  <c:v>35.0</c:v>
                </c:pt>
                <c:pt idx="6">
                  <c:v>21.0</c:v>
                </c:pt>
                <c:pt idx="7">
                  <c:v>7.0</c:v>
                </c:pt>
                <c:pt idx="8">
                  <c:v>1.0</c:v>
                </c:pt>
              </c:numCache>
            </c:numRef>
          </c:val>
          <c:smooth val="1"/>
        </c:ser>
        <c:ser>
          <c:idx val="0"/>
          <c:order val="4"/>
          <c:tx>
            <c:strRef>
              <c:f>'(intern)'!$A$90</c:f>
              <c:strCache>
                <c:ptCount val="1"/>
                <c:pt idx="0">
                  <c:v>Summe PP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val>
            <c:numRef>
              <c:f>'(intern)'!$B$90:$L$90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1.0</c:v>
                </c:pt>
                <c:pt idx="4">
                  <c:v>9.0</c:v>
                </c:pt>
                <c:pt idx="5">
                  <c:v>5.0</c:v>
                </c:pt>
                <c:pt idx="6">
                  <c:v>7.0</c:v>
                </c:pt>
                <c:pt idx="7">
                  <c:v>14.0</c:v>
                </c:pt>
                <c:pt idx="8">
                  <c:v>3.0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229144"/>
        <c:axId val="2119225448"/>
      </c:lineChart>
      <c:catAx>
        <c:axId val="21192291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3300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19225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9225448"/>
        <c:scaling>
          <c:orientation val="minMax"/>
          <c:max val="40.0"/>
          <c:min val="0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3300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19229144"/>
        <c:crosses val="autoZero"/>
        <c:crossBetween val="between"/>
        <c:majorUnit val="2.0"/>
        <c:minorUnit val="1.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noFill/>
          <a:prstDash val="solid"/>
        </a:ln>
      </c:spPr>
    </c:plotArea>
    <c:legend>
      <c:legendPos val="l"/>
      <c:layout>
        <c:manualLayout>
          <c:xMode val="edge"/>
          <c:yMode val="edge"/>
          <c:x val="0.028169014084507"/>
          <c:y val="0.228366015546134"/>
          <c:w val="0.138621200889548"/>
          <c:h val="0.632213115788411"/>
        </c:manualLayout>
      </c:layout>
      <c:overlay val="0"/>
      <c:spPr>
        <a:solidFill>
          <a:srgbClr val="CCFFCC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3300"/>
              </a:solidFill>
              <a:latin typeface="Geneva"/>
              <a:ea typeface="Geneva"/>
              <a:cs typeface="Geneva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950" b="0" i="0" u="none" strike="noStrike" baseline="0">
          <a:solidFill>
            <a:srgbClr val="003300"/>
          </a:solidFill>
          <a:latin typeface="Geneva"/>
          <a:ea typeface="Geneva"/>
          <a:cs typeface="Geneva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0" i="0" u="none" strike="noStrike" baseline="0">
                <a:solidFill>
                  <a:srgbClr val="333300"/>
                </a:solidFill>
                <a:latin typeface="Geneva"/>
                <a:ea typeface="Geneva"/>
                <a:cs typeface="Geneva"/>
              </a:defRPr>
            </a:pPr>
            <a:r>
              <a:rPr lang="de-DE" sz="950" b="0" i="0" u="none" strike="noStrike" baseline="0">
                <a:solidFill>
                  <a:srgbClr val="333300"/>
                </a:solidFill>
                <a:latin typeface="Geneva"/>
              </a:rPr>
              <a:t>Vergleich der </a:t>
            </a:r>
          </a:p>
          <a:p>
            <a:pPr>
              <a:defRPr sz="950" b="0" i="0" u="none" strike="noStrike" baseline="0">
                <a:solidFill>
                  <a:srgbClr val="333300"/>
                </a:solidFill>
                <a:latin typeface="Geneva"/>
                <a:ea typeface="Geneva"/>
                <a:cs typeface="Geneva"/>
              </a:defRPr>
            </a:pPr>
            <a:r>
              <a:rPr lang="de-DE" sz="950" b="0" i="0" u="none" strike="noStrike" baseline="0">
                <a:solidFill>
                  <a:srgbClr val="333300"/>
                </a:solidFill>
                <a:latin typeface="Geneva"/>
              </a:rPr>
              <a:t>"Nüchtern"-Werte</a:t>
            </a:r>
            <a:endParaRPr lang="de-DE"/>
          </a:p>
        </c:rich>
      </c:tx>
      <c:layout>
        <c:manualLayout>
          <c:xMode val="edge"/>
          <c:yMode val="edge"/>
          <c:x val="0.0318754633061527"/>
          <c:y val="0.082938388625592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53346885639676"/>
          <c:y val="0.0473934471848281"/>
          <c:w val="0.740471140058243"/>
          <c:h val="0.853082049326905"/>
        </c:manualLayout>
      </c:layout>
      <c:lineChart>
        <c:grouping val="standard"/>
        <c:varyColors val="0"/>
        <c:ser>
          <c:idx val="0"/>
          <c:order val="0"/>
          <c:tx>
            <c:strRef>
              <c:f>'(intern)'!$A$80</c:f>
              <c:strCache>
                <c:ptCount val="1"/>
                <c:pt idx="0">
                  <c:v>07:00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'(intern)'!$B$80:$L$80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15.0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2"/>
          <c:order val="1"/>
          <c:tx>
            <c:strRef>
              <c:f>'(intern)'!$A$82</c:f>
              <c:strCache>
                <c:ptCount val="1"/>
                <c:pt idx="0">
                  <c:v>12:00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'(intern)'!$B$82:$L$82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2.0</c:v>
                </c:pt>
                <c:pt idx="4">
                  <c:v>1.0</c:v>
                </c:pt>
                <c:pt idx="5">
                  <c:v>5.0</c:v>
                </c:pt>
                <c:pt idx="6">
                  <c:v>5.0</c:v>
                </c:pt>
                <c:pt idx="7">
                  <c:v>1.0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4"/>
          <c:order val="2"/>
          <c:tx>
            <c:strRef>
              <c:f>'(intern)'!$A$84</c:f>
              <c:strCache>
                <c:ptCount val="1"/>
                <c:pt idx="0">
                  <c:v>17:30</c:v>
                </c:pt>
              </c:strCache>
            </c:strRef>
          </c:tx>
          <c:spPr>
            <a:ln w="381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'(intern)'!$B$84:$L$84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3.0</c:v>
                </c:pt>
                <c:pt idx="4">
                  <c:v>2.0</c:v>
                </c:pt>
                <c:pt idx="5">
                  <c:v>4.0</c:v>
                </c:pt>
                <c:pt idx="6">
                  <c:v>6.0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10"/>
          <c:order val="3"/>
          <c:tx>
            <c:strRef>
              <c:f>'(intern)'!$A$92</c:f>
              <c:strCache>
                <c:ptCount val="1"/>
                <c:pt idx="0">
                  <c:v>Gauß 8,0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'(intern)'!$B$92:$L$92</c:f>
              <c:numCache>
                <c:formatCode>General</c:formatCode>
                <c:ptCount val="11"/>
                <c:pt idx="1">
                  <c:v>1.0</c:v>
                </c:pt>
                <c:pt idx="2">
                  <c:v>7.0</c:v>
                </c:pt>
                <c:pt idx="3">
                  <c:v>21.0</c:v>
                </c:pt>
                <c:pt idx="4">
                  <c:v>35.0</c:v>
                </c:pt>
                <c:pt idx="5">
                  <c:v>35.0</c:v>
                </c:pt>
                <c:pt idx="6">
                  <c:v>21.0</c:v>
                </c:pt>
                <c:pt idx="7">
                  <c:v>7.0</c:v>
                </c:pt>
                <c:pt idx="8">
                  <c:v>1.0</c:v>
                </c:pt>
              </c:numCache>
            </c:numRef>
          </c:val>
          <c:smooth val="1"/>
        </c:ser>
        <c:ser>
          <c:idx val="1"/>
          <c:order val="4"/>
          <c:tx>
            <c:strRef>
              <c:f>'(intern)'!$A$89</c:f>
              <c:strCache>
                <c:ptCount val="1"/>
                <c:pt idx="0">
                  <c:v>Summe vor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val>
            <c:numRef>
              <c:f>'(intern)'!$B$89:$L$89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5.0</c:v>
                </c:pt>
                <c:pt idx="4">
                  <c:v>18.0</c:v>
                </c:pt>
                <c:pt idx="5">
                  <c:v>9.0</c:v>
                </c:pt>
                <c:pt idx="6">
                  <c:v>11.0</c:v>
                </c:pt>
                <c:pt idx="7">
                  <c:v>1.0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172776"/>
        <c:axId val="2120292008"/>
      </c:lineChart>
      <c:catAx>
        <c:axId val="211917277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00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2029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0292008"/>
        <c:scaling>
          <c:orientation val="minMax"/>
          <c:max val="40.0"/>
          <c:min val="0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00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19172776"/>
        <c:crosses val="autoZero"/>
        <c:crossBetween val="between"/>
        <c:majorUnit val="2.0"/>
        <c:minorUnit val="1.0"/>
      </c:valAx>
      <c:spPr>
        <a:gradFill rotWithShape="0">
          <a:gsLst>
            <a:gs pos="0">
              <a:srgbClr val="FFFFFF"/>
            </a:gs>
            <a:gs pos="100000">
              <a:srgbClr val="FFCC99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274277242401779"/>
          <c:y val="0.258294149842644"/>
          <c:w val="0.15418828762046"/>
          <c:h val="0.611375340523193"/>
        </c:manualLayout>
      </c:layout>
      <c:overlay val="0"/>
      <c:spPr>
        <a:solidFill>
          <a:srgbClr val="FFCC99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333300"/>
              </a:solidFill>
              <a:latin typeface="Geneva"/>
              <a:ea typeface="Geneva"/>
              <a:cs typeface="Geneva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950" b="0" i="0" u="none" strike="noStrike" baseline="0">
          <a:solidFill>
            <a:srgbClr val="333300"/>
          </a:solidFill>
          <a:latin typeface="Geneva"/>
          <a:ea typeface="Geneva"/>
          <a:cs typeface="Geneva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0" i="0" u="none" strike="noStrike" baseline="0">
                <a:solidFill>
                  <a:srgbClr val="333399"/>
                </a:solidFill>
                <a:latin typeface="Geneva"/>
                <a:ea typeface="Geneva"/>
                <a:cs typeface="Geneva"/>
              </a:defRPr>
            </a:pPr>
            <a:r>
              <a:rPr lang="de-DE" sz="950" b="0" i="0" u="none" strike="noStrike" baseline="0">
                <a:solidFill>
                  <a:srgbClr val="333399"/>
                </a:solidFill>
                <a:latin typeface="Geneva"/>
              </a:rPr>
              <a:t>Vergleich </a:t>
            </a:r>
          </a:p>
          <a:p>
            <a:pPr>
              <a:defRPr sz="950" b="0" i="0" u="none" strike="noStrike" baseline="0">
                <a:solidFill>
                  <a:srgbClr val="333399"/>
                </a:solidFill>
                <a:latin typeface="Geneva"/>
                <a:ea typeface="Geneva"/>
                <a:cs typeface="Geneva"/>
              </a:defRPr>
            </a:pPr>
            <a:r>
              <a:rPr lang="de-DE" sz="950" b="0" i="0" u="none" strike="noStrike" baseline="0">
                <a:solidFill>
                  <a:srgbClr val="333399"/>
                </a:solidFill>
                <a:latin typeface="Geneva"/>
              </a:rPr>
              <a:t>"über Nacht"</a:t>
            </a:r>
            <a:endParaRPr lang="de-DE"/>
          </a:p>
        </c:rich>
      </c:tx>
      <c:layout>
        <c:manualLayout>
          <c:xMode val="edge"/>
          <c:yMode val="edge"/>
          <c:x val="0.0481838398813936"/>
          <c:y val="0.06603804536225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53521126760563"/>
          <c:y val="0.0471699471238251"/>
          <c:w val="0.741985163433982"/>
          <c:h val="0.853776042941235"/>
        </c:manualLayout>
      </c:layout>
      <c:lineChart>
        <c:grouping val="standard"/>
        <c:varyColors val="0"/>
        <c:ser>
          <c:idx val="6"/>
          <c:order val="0"/>
          <c:tx>
            <c:strRef>
              <c:f>'(intern)'!$A$86</c:f>
              <c:strCache>
                <c:ptCount val="1"/>
                <c:pt idx="0">
                  <c:v>23:00</c:v>
                </c:pt>
              </c:strCache>
            </c:strRef>
          </c:tx>
          <c:spPr>
            <a:ln w="381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'(intern)'!$B$86:$L$86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3.0</c:v>
                </c:pt>
                <c:pt idx="5">
                  <c:v>6.0</c:v>
                </c:pt>
                <c:pt idx="6">
                  <c:v>2.0</c:v>
                </c:pt>
                <c:pt idx="7">
                  <c:v>3.0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7"/>
          <c:order val="1"/>
          <c:tx>
            <c:strRef>
              <c:f>'(intern)'!$A$87</c:f>
              <c:strCache>
                <c:ptCount val="1"/>
                <c:pt idx="0">
                  <c:v>Nacht</c:v>
                </c:pt>
              </c:strCache>
            </c:strRef>
          </c:tx>
          <c:spPr>
            <a:ln w="38100">
              <a:solidFill>
                <a:srgbClr val="333333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'(intern)'!$B$87:$L$87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12.0</c:v>
                </c:pt>
                <c:pt idx="5">
                  <c:v>2.0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8"/>
          <c:order val="2"/>
          <c:tx>
            <c:strRef>
              <c:f>'(intern)'!$A$88</c:f>
              <c:strCache>
                <c:ptCount val="1"/>
                <c:pt idx="0">
                  <c:v>Früh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'(intern)'!$B$88:$L$88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11.0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  <c:smooth val="1"/>
        </c:ser>
        <c:ser>
          <c:idx val="10"/>
          <c:order val="3"/>
          <c:tx>
            <c:strRef>
              <c:f>'(intern)'!$A$92</c:f>
              <c:strCache>
                <c:ptCount val="1"/>
                <c:pt idx="0">
                  <c:v>Gauß 8,0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'(intern)'!$B$79:$L$79</c:f>
              <c:strCache>
                <c:ptCount val="11"/>
                <c:pt idx="0">
                  <c:v>≤0,5</c:v>
                </c:pt>
                <c:pt idx="1">
                  <c:v>≤2,0</c:v>
                </c:pt>
                <c:pt idx="2">
                  <c:v>≤3,5</c:v>
                </c:pt>
                <c:pt idx="3">
                  <c:v>≤5,0</c:v>
                </c:pt>
                <c:pt idx="4">
                  <c:v>≤6,5</c:v>
                </c:pt>
                <c:pt idx="5">
                  <c:v>≤8,0</c:v>
                </c:pt>
                <c:pt idx="6">
                  <c:v>≤9,5</c:v>
                </c:pt>
                <c:pt idx="7">
                  <c:v>≤11,0</c:v>
                </c:pt>
                <c:pt idx="8">
                  <c:v>≤12,5</c:v>
                </c:pt>
                <c:pt idx="9">
                  <c:v>≤14,0</c:v>
                </c:pt>
                <c:pt idx="10">
                  <c:v>&gt;14,0</c:v>
                </c:pt>
              </c:strCache>
            </c:strRef>
          </c:cat>
          <c:val>
            <c:numRef>
              <c:f>'(intern)'!$B$92:$L$92</c:f>
              <c:numCache>
                <c:formatCode>General</c:formatCode>
                <c:ptCount val="11"/>
                <c:pt idx="1">
                  <c:v>1.0</c:v>
                </c:pt>
                <c:pt idx="2">
                  <c:v>7.0</c:v>
                </c:pt>
                <c:pt idx="3">
                  <c:v>21.0</c:v>
                </c:pt>
                <c:pt idx="4">
                  <c:v>35.0</c:v>
                </c:pt>
                <c:pt idx="5">
                  <c:v>35.0</c:v>
                </c:pt>
                <c:pt idx="6">
                  <c:v>21.0</c:v>
                </c:pt>
                <c:pt idx="7">
                  <c:v>7.0</c:v>
                </c:pt>
                <c:pt idx="8">
                  <c:v>1.0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339720"/>
        <c:axId val="2120343384"/>
      </c:lineChart>
      <c:catAx>
        <c:axId val="212033972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99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2034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0343384"/>
        <c:scaling>
          <c:orientation val="minMax"/>
          <c:max val="40.0"/>
          <c:min val="0.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333399"/>
                </a:solidFill>
                <a:latin typeface="Geneva"/>
                <a:ea typeface="Geneva"/>
                <a:cs typeface="Geneva"/>
              </a:defRPr>
            </a:pPr>
            <a:endParaRPr lang="de-DE"/>
          </a:p>
        </c:txPr>
        <c:crossAx val="2120339720"/>
        <c:crosses val="autoZero"/>
        <c:crossBetween val="between"/>
        <c:majorUnit val="2.0"/>
        <c:minorUnit val="1.0"/>
      </c:valAx>
      <c:spPr>
        <a:gradFill rotWithShape="0">
          <a:gsLst>
            <a:gs pos="0">
              <a:srgbClr val="FFFFFF"/>
            </a:gs>
            <a:gs pos="100000">
              <a:srgbClr val="99CCFF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0311341734618236"/>
          <c:y val="0.292453758728272"/>
          <c:w val="0.126019273535953"/>
          <c:h val="0.561322302282969"/>
        </c:manualLayout>
      </c:layout>
      <c:overlay val="0"/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333399"/>
              </a:solidFill>
              <a:latin typeface="Geneva"/>
              <a:ea typeface="Geneva"/>
              <a:cs typeface="Geneva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950" b="0" i="0" u="none" strike="noStrike" baseline="0">
          <a:solidFill>
            <a:srgbClr val="333399"/>
          </a:solidFill>
          <a:latin typeface="Geneva"/>
          <a:ea typeface="Geneva"/>
          <a:cs typeface="Geneva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2475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Histogramm</a:t>
            </a:r>
          </a:p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 sz="1625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über den Zeitraum ab I/2017</a:t>
            </a:r>
            <a:endParaRPr lang="de-DE"/>
          </a:p>
        </c:rich>
      </c:tx>
      <c:layout>
        <c:manualLayout>
          <c:xMode val="edge"/>
          <c:yMode val="edge"/>
          <c:x val="0.36614749466515"/>
          <c:y val="0.025998142989786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694051351514442"/>
          <c:y val="0.122544247927077"/>
          <c:w val="0.913598207605745"/>
          <c:h val="0.76120193779033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'(intern2)'!$AB$149</c:f>
              <c:strCache>
                <c:ptCount val="1"/>
                <c:pt idx="0">
                  <c:v> Verteilung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80"/>
              </a:solidFill>
              <a:prstDash val="solid"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FF8080"/>
              </a:solidFill>
              <a:ln w="38100">
                <a:solidFill>
                  <a:srgbClr val="00008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rgbClr val="FF8080"/>
              </a:solidFill>
              <a:ln w="38100">
                <a:solidFill>
                  <a:srgbClr val="00008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rgbClr val="CC99FF"/>
              </a:solidFill>
              <a:ln w="38100">
                <a:solidFill>
                  <a:srgbClr val="00008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rgbClr val="993366"/>
              </a:solidFill>
              <a:ln w="38100">
                <a:solidFill>
                  <a:srgbClr val="00008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rgbClr val="660066"/>
              </a:solidFill>
              <a:ln w="38100">
                <a:solidFill>
                  <a:srgbClr val="000080"/>
                </a:solidFill>
                <a:prstDash val="solid"/>
              </a:ln>
            </c:spPr>
          </c:dPt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'(intern2)'!$AD$148:$AN$148</c:f>
              <c:numCache>
                <c:formatCode>0</c:formatCode>
                <c:ptCount val="11"/>
                <c:pt idx="1">
                  <c:v>2.545466381395974</c:v>
                </c:pt>
                <c:pt idx="2">
                  <c:v>3.752451334316561</c:v>
                </c:pt>
                <c:pt idx="3">
                  <c:v>4.959436287237148</c:v>
                </c:pt>
                <c:pt idx="4">
                  <c:v>6.166421240157735</c:v>
                </c:pt>
                <c:pt idx="5">
                  <c:v>7.373406193078322</c:v>
                </c:pt>
                <c:pt idx="6">
                  <c:v>8.580391145998909</c:v>
                </c:pt>
                <c:pt idx="7">
                  <c:v>9.787376098919498</c:v>
                </c:pt>
                <c:pt idx="8">
                  <c:v>10.99436105184008</c:v>
                </c:pt>
                <c:pt idx="9">
                  <c:v>12.20134600476067</c:v>
                </c:pt>
                <c:pt idx="10">
                  <c:v>13.40833095768126</c:v>
                </c:pt>
              </c:numCache>
            </c:numRef>
          </c:cat>
          <c:val>
            <c:numRef>
              <c:f>'(intern2)'!$AD$149:$AN$149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15.0</c:v>
                </c:pt>
                <c:pt idx="4">
                  <c:v>46.0</c:v>
                </c:pt>
                <c:pt idx="5">
                  <c:v>20.0</c:v>
                </c:pt>
                <c:pt idx="6">
                  <c:v>18.0</c:v>
                </c:pt>
                <c:pt idx="7">
                  <c:v>11.0</c:v>
                </c:pt>
                <c:pt idx="8">
                  <c:v>9.0</c:v>
                </c:pt>
                <c:pt idx="9">
                  <c:v>3.0</c:v>
                </c:pt>
                <c:pt idx="10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20405944"/>
        <c:axId val="2120412424"/>
      </c:barChart>
      <c:catAx>
        <c:axId val="21204059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[mmol/L]</a:t>
                </a:r>
              </a:p>
            </c:rich>
          </c:tx>
          <c:layout>
            <c:manualLayout>
              <c:xMode val="edge"/>
              <c:yMode val="edge"/>
              <c:x val="0.504269150946385"/>
              <c:y val="0.916087343005995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20412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0412424"/>
        <c:scaling>
          <c:orientation val="minMax"/>
          <c:min val="0.0"/>
        </c:scaling>
        <c:delete val="0"/>
        <c:axPos val="l"/>
        <c:majorGridlines>
          <c:spPr>
            <a:ln w="12700">
              <a:solidFill>
                <a:srgbClr val="000000"/>
              </a:solidFill>
              <a:prstDash val="solid"/>
            </a:ln>
          </c:spPr>
        </c:majorGridlines>
        <c:minorGridlines>
          <c:spPr>
            <a:ln w="12700">
              <a:solidFill>
                <a:srgbClr val="969696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[n]</a:t>
                </a:r>
              </a:p>
            </c:rich>
          </c:tx>
          <c:layout>
            <c:manualLayout>
              <c:xMode val="edge"/>
              <c:yMode val="edge"/>
              <c:x val="0.0169971671388102"/>
              <c:y val="0.54410472367834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2040594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Verteilung</a:t>
            </a:r>
          </a:p>
        </c:rich>
      </c:tx>
      <c:layout>
        <c:manualLayout>
          <c:xMode val="edge"/>
          <c:yMode val="edge"/>
          <c:x val="0.424051107535609"/>
          <c:y val="0.027713625866050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732369624417089"/>
          <c:y val="0.135104097493989"/>
          <c:w val="0.911393310385711"/>
          <c:h val="0.774827772807408"/>
        </c:manualLayout>
      </c:layout>
      <c:lineChart>
        <c:grouping val="standard"/>
        <c:varyColors val="0"/>
        <c:ser>
          <c:idx val="0"/>
          <c:order val="0"/>
          <c:tx>
            <c:strRef>
              <c:f>'(intern2)'!$AB$149</c:f>
              <c:strCache>
                <c:ptCount val="1"/>
                <c:pt idx="0">
                  <c:v> Verteilung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circle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'(intern2)'!$AD$148:$AN$148</c:f>
              <c:numCache>
                <c:formatCode>0</c:formatCode>
                <c:ptCount val="11"/>
                <c:pt idx="1">
                  <c:v>2.545466381395974</c:v>
                </c:pt>
                <c:pt idx="2">
                  <c:v>3.752451334316561</c:v>
                </c:pt>
                <c:pt idx="3">
                  <c:v>4.959436287237148</c:v>
                </c:pt>
                <c:pt idx="4">
                  <c:v>6.166421240157735</c:v>
                </c:pt>
                <c:pt idx="5">
                  <c:v>7.373406193078322</c:v>
                </c:pt>
                <c:pt idx="6">
                  <c:v>8.580391145998909</c:v>
                </c:pt>
                <c:pt idx="7">
                  <c:v>9.787376098919498</c:v>
                </c:pt>
                <c:pt idx="8">
                  <c:v>10.99436105184008</c:v>
                </c:pt>
                <c:pt idx="9">
                  <c:v>12.20134600476067</c:v>
                </c:pt>
                <c:pt idx="10">
                  <c:v>13.40833095768126</c:v>
                </c:pt>
              </c:numCache>
            </c:numRef>
          </c:cat>
          <c:val>
            <c:numRef>
              <c:f>'(intern2)'!$AD$149:$AN$149</c:f>
              <c:numCache>
                <c:formatCode>0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15.0</c:v>
                </c:pt>
                <c:pt idx="4">
                  <c:v>46.0</c:v>
                </c:pt>
                <c:pt idx="5">
                  <c:v>20.0</c:v>
                </c:pt>
                <c:pt idx="6">
                  <c:v>18.0</c:v>
                </c:pt>
                <c:pt idx="7">
                  <c:v>11.0</c:v>
                </c:pt>
                <c:pt idx="8">
                  <c:v>9.0</c:v>
                </c:pt>
                <c:pt idx="9">
                  <c:v>3.0</c:v>
                </c:pt>
                <c:pt idx="10">
                  <c:v>0.0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8461896"/>
        <c:axId val="2118468296"/>
      </c:lineChart>
      <c:catAx>
        <c:axId val="21184618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[mg/dl]</a:t>
                </a:r>
              </a:p>
            </c:rich>
          </c:tx>
          <c:layout>
            <c:manualLayout>
              <c:xMode val="edge"/>
              <c:yMode val="edge"/>
              <c:x val="0.502712952020238"/>
              <c:y val="0.94572869499857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468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8468296"/>
        <c:scaling>
          <c:orientation val="minMax"/>
          <c:min val="0.0"/>
        </c:scaling>
        <c:delete val="0"/>
        <c:axPos val="l"/>
        <c:majorGridlines>
          <c:spPr>
            <a:ln w="12700">
              <a:solidFill>
                <a:srgbClr val="000000"/>
              </a:solidFill>
              <a:prstDash val="solid"/>
            </a:ln>
          </c:spPr>
        </c:majorGridlines>
        <c:minorGridlines>
          <c:spPr>
            <a:ln w="12700">
              <a:solidFill>
                <a:srgbClr val="969696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[n]</a:t>
                </a:r>
              </a:p>
            </c:rich>
          </c:tx>
          <c:layout>
            <c:manualLayout>
              <c:xMode val="edge"/>
              <c:yMode val="edge"/>
              <c:x val="0.0171790235081374"/>
              <c:y val="0.50692901262630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1184618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5" r="0.787401575" t="0.984251969" header="0.4921259845" footer="0.492125984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'(intern2)'!$AO$210</c:f>
              <c:strCache>
                <c:ptCount val="1"/>
                <c:pt idx="0">
                  <c:v>Früh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</c:spPr>
          </c:dPt>
          <c:dPt>
            <c:idx val="1"/>
            <c:bubble3D val="0"/>
            <c:spPr>
              <a:solidFill>
                <a:srgbClr val="92D050"/>
              </a:solidFill>
              <a:ln>
                <a:solidFill>
                  <a:srgbClr val="92D050"/>
                </a:solidFill>
              </a:ln>
            </c:spPr>
          </c:dPt>
          <c:dPt>
            <c:idx val="2"/>
            <c:bubble3D val="0"/>
            <c:spPr>
              <a:solidFill>
                <a:srgbClr val="FF0000"/>
              </a:solidFill>
            </c:spPr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'(intern2)'!$AO$211:$AO$214</c:f>
              <c:numCache>
                <c:formatCode>General</c:formatCode>
                <c:ptCount val="4"/>
                <c:pt idx="0">
                  <c:v>6.0</c:v>
                </c:pt>
                <c:pt idx="1">
                  <c:v>2.0</c:v>
                </c:pt>
                <c:pt idx="2">
                  <c:v>0.0</c:v>
                </c:pt>
                <c:pt idx="3">
                  <c:v>2.0</c:v>
                </c:pt>
              </c:numCache>
            </c:numRef>
          </c:val>
        </c:ser>
        <c:ser>
          <c:idx val="1"/>
          <c:order val="1"/>
          <c:tx>
            <c:strRef>
              <c:f>'(intern2)'!$AP$210</c:f>
              <c:strCache>
                <c:ptCount val="1"/>
                <c:pt idx="0">
                  <c:v>Mittag</c:v>
                </c:pt>
              </c:strCache>
            </c:strRef>
          </c:tx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'(intern2)'!$AP$211:$AP$214</c:f>
              <c:numCache>
                <c:formatCode>General</c:formatCode>
                <c:ptCount val="4"/>
                <c:pt idx="0">
                  <c:v>1.0</c:v>
                </c:pt>
                <c:pt idx="1">
                  <c:v>7.0</c:v>
                </c:pt>
                <c:pt idx="2">
                  <c:v>0.0</c:v>
                </c:pt>
                <c:pt idx="3">
                  <c:v>2.0</c:v>
                </c:pt>
              </c:numCache>
            </c:numRef>
          </c:val>
        </c:ser>
        <c:ser>
          <c:idx val="2"/>
          <c:order val="2"/>
          <c:tx>
            <c:strRef>
              <c:f>'(intern2)'!$AQ$210</c:f>
              <c:strCache>
                <c:ptCount val="1"/>
                <c:pt idx="0">
                  <c:v>Abend</c:v>
                </c:pt>
              </c:strCache>
            </c:strRef>
          </c:tx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'(intern2)'!$AQ$211:$AQ$214</c:f>
              <c:numCache>
                <c:formatCode>General</c:formatCode>
                <c:ptCount val="4"/>
                <c:pt idx="0">
                  <c:v>4.0</c:v>
                </c:pt>
                <c:pt idx="1">
                  <c:v>6.0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1"/>
          <c:order val="0"/>
          <c:tx>
            <c:strRef>
              <c:f>'(intern2)'!$AP$210</c:f>
              <c:strCache>
                <c:ptCount val="1"/>
                <c:pt idx="0">
                  <c:v>Mittag</c:v>
                </c:pt>
              </c:strCache>
            </c:strRef>
          </c:tx>
          <c:spPr>
            <a:solidFill>
              <a:srgbClr val="92D050"/>
            </a:solidFill>
          </c:spPr>
          <c:dPt>
            <c:idx val="0"/>
            <c:bubble3D val="0"/>
            <c:spPr>
              <a:solidFill>
                <a:srgbClr val="00B0F0"/>
              </a:solidFill>
            </c:spPr>
          </c:dPt>
          <c:dPt>
            <c:idx val="2"/>
            <c:bubble3D val="0"/>
            <c:spPr>
              <a:solidFill>
                <a:srgbClr val="FF0000"/>
              </a:solidFill>
            </c:spPr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'(intern2)'!$AP$211:$AP$214</c:f>
              <c:numCache>
                <c:formatCode>General</c:formatCode>
                <c:ptCount val="4"/>
                <c:pt idx="0">
                  <c:v>1.0</c:v>
                </c:pt>
                <c:pt idx="1">
                  <c:v>7.0</c:v>
                </c:pt>
                <c:pt idx="2">
                  <c:v>0.0</c:v>
                </c:pt>
                <c:pt idx="3">
                  <c:v>2.0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2"/>
          <c:order val="0"/>
          <c:tx>
            <c:strRef>
              <c:f>'(intern2)'!$AQ$210</c:f>
              <c:strCache>
                <c:ptCount val="1"/>
                <c:pt idx="0">
                  <c:v>Abend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</c:spPr>
          </c:dPt>
          <c:dPt>
            <c:idx val="1"/>
            <c:bubble3D val="0"/>
            <c:spPr>
              <a:solidFill>
                <a:srgbClr val="92D050"/>
              </a:solidFill>
            </c:spPr>
          </c:dPt>
          <c:dPt>
            <c:idx val="2"/>
            <c:bubble3D val="0"/>
            <c:spPr>
              <a:solidFill>
                <a:srgbClr val="FF0000"/>
              </a:solidFill>
            </c:spPr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cat>
            <c:strRef>
              <c:f>'(intern2)'!$AN$211:$AN$214</c:f>
              <c:strCache>
                <c:ptCount val="4"/>
                <c:pt idx="0">
                  <c:v>F+</c:v>
                </c:pt>
                <c:pt idx="1">
                  <c:v>ok</c:v>
                </c:pt>
                <c:pt idx="2">
                  <c:v>F-</c:v>
                </c:pt>
                <c:pt idx="3">
                  <c:v>?</c:v>
                </c:pt>
              </c:strCache>
            </c:strRef>
          </c:cat>
          <c:val>
            <c:numRef>
              <c:f>'(intern2)'!$AQ$211:$AQ$214</c:f>
              <c:numCache>
                <c:formatCode>General</c:formatCode>
                <c:ptCount val="4"/>
                <c:pt idx="0">
                  <c:v>4.0</c:v>
                </c:pt>
                <c:pt idx="1">
                  <c:v>6.0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Diagramm2">
    <tabColor rgb="FFFFFF00"/>
  </sheetPr>
  <sheetViews>
    <sheetView zoomScale="150" workbookViewId="0"/>
  </sheetViews>
  <pageMargins left="0.25" right="0.25" top="0.25" bottom="0.25" header="0" footer="0"/>
  <pageSetup paperSize="9" orientation="landscape" horizontalDpi="4294967292" verticalDpi="4294967292"/>
  <headerFooter alignWithMargins="0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Relationship Id="rId3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Relationship Id="rId2" Type="http://schemas.openxmlformats.org/officeDocument/2006/relationships/chart" Target="../charts/chart11.xml"/><Relationship Id="rId3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4" Type="http://schemas.openxmlformats.org/officeDocument/2006/relationships/chart" Target="../charts/chart16.xml"/><Relationship Id="rId5" Type="http://schemas.openxmlformats.org/officeDocument/2006/relationships/chart" Target="../charts/chart17.xml"/><Relationship Id="rId6" Type="http://schemas.openxmlformats.org/officeDocument/2006/relationships/chart" Target="../charts/chart18.xml"/><Relationship Id="rId7" Type="http://schemas.openxmlformats.org/officeDocument/2006/relationships/chart" Target="../charts/chart19.xml"/><Relationship Id="rId8" Type="http://schemas.openxmlformats.org/officeDocument/2006/relationships/chart" Target="../charts/chart20.xml"/><Relationship Id="rId1" Type="http://schemas.openxmlformats.org/officeDocument/2006/relationships/chart" Target="../charts/chart13.xml"/><Relationship Id="rId2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Relationship Id="rId2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6.xml"/><Relationship Id="rId4" Type="http://schemas.openxmlformats.org/officeDocument/2006/relationships/chart" Target="../charts/chart27.xml"/><Relationship Id="rId1" Type="http://schemas.openxmlformats.org/officeDocument/2006/relationships/chart" Target="../charts/chart24.xml"/><Relationship Id="rId2" Type="http://schemas.openxmlformats.org/officeDocument/2006/relationships/chart" Target="../charts/chart25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4" Type="http://schemas.openxmlformats.org/officeDocument/2006/relationships/chart" Target="../charts/chart31.xml"/><Relationship Id="rId1" Type="http://schemas.openxmlformats.org/officeDocument/2006/relationships/chart" Target="../charts/chart28.xml"/><Relationship Id="rId2" Type="http://schemas.openxmlformats.org/officeDocument/2006/relationships/chart" Target="../charts/char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117</xdr:row>
      <xdr:rowOff>15240</xdr:rowOff>
    </xdr:from>
    <xdr:to>
      <xdr:col>2</xdr:col>
      <xdr:colOff>38100</xdr:colOff>
      <xdr:row>118</xdr:row>
      <xdr:rowOff>7620</xdr:rowOff>
    </xdr:to>
    <xdr:sp macro="" textlink="">
      <xdr:nvSpPr>
        <xdr:cNvPr id="5168" name="Text Box 48"/>
        <xdr:cNvSpPr txBox="1">
          <a:spLocks noChangeArrowheads="1"/>
        </xdr:cNvSpPr>
      </xdr:nvSpPr>
      <xdr:spPr bwMode="auto">
        <a:xfrm>
          <a:off x="0" y="24932640"/>
          <a:ext cx="619125" cy="144780"/>
        </a:xfrm>
        <a:prstGeom prst="rect">
          <a:avLst/>
        </a:prstGeom>
        <a:solidFill>
          <a:srgbClr val="66669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27432" bIns="0" anchor="ctr" upright="1"/>
        <a:lstStyle/>
        <a:p>
          <a:pPr algn="ctr" rtl="0">
            <a:defRPr sz="1000"/>
          </a:pPr>
          <a:r>
            <a:rPr lang="de-DE" sz="900" b="1" i="0" u="none" strike="noStrike" baseline="0">
              <a:solidFill>
                <a:srgbClr val="FFFF99"/>
              </a:solidFill>
              <a:latin typeface="Geneva"/>
            </a:rPr>
            <a:t>xxx</a:t>
          </a:r>
          <a:endParaRPr lang="de-DE"/>
        </a:p>
      </xdr:txBody>
    </xdr:sp>
    <xdr:clientData/>
  </xdr:twoCellAnchor>
  <xdr:twoCellAnchor>
    <xdr:from>
      <xdr:col>0</xdr:col>
      <xdr:colOff>0</xdr:colOff>
      <xdr:row>119</xdr:row>
      <xdr:rowOff>9356</xdr:rowOff>
    </xdr:from>
    <xdr:to>
      <xdr:col>2</xdr:col>
      <xdr:colOff>47625</xdr:colOff>
      <xdr:row>120</xdr:row>
      <xdr:rowOff>18881</xdr:rowOff>
    </xdr:to>
    <xdr:sp macro="" textlink="">
      <xdr:nvSpPr>
        <xdr:cNvPr id="7" name="Text Box 63"/>
        <xdr:cNvSpPr txBox="1">
          <a:spLocks noChangeArrowheads="1"/>
        </xdr:cNvSpPr>
      </xdr:nvSpPr>
      <xdr:spPr bwMode="auto">
        <a:xfrm>
          <a:off x="0" y="25225158"/>
          <a:ext cx="774724" cy="16463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66" mc:Ignorable="a14" a14:legacySpreadsheetColorIndex="6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27432" bIns="0" anchor="ctr" upright="1"/>
        <a:lstStyle/>
        <a:p>
          <a:pPr algn="ctr" rtl="0">
            <a:defRPr sz="1000"/>
          </a:pPr>
          <a:r>
            <a:rPr lang="de-DE" sz="900" b="1" i="0" u="none" strike="noStrike" baseline="0">
              <a:solidFill>
                <a:srgbClr val="FFFF99"/>
              </a:solidFill>
              <a:latin typeface="Geneva"/>
            </a:rPr>
            <a:t>xxx</a:t>
          </a:r>
          <a:endParaRPr lang="de-DE"/>
        </a:p>
      </xdr:txBody>
    </xdr:sp>
    <xdr:clientData/>
  </xdr:twoCellAnchor>
  <xdr:twoCellAnchor>
    <xdr:from>
      <xdr:col>4</xdr:col>
      <xdr:colOff>195384</xdr:colOff>
      <xdr:row>118</xdr:row>
      <xdr:rowOff>214923</xdr:rowOff>
    </xdr:from>
    <xdr:to>
      <xdr:col>5</xdr:col>
      <xdr:colOff>194626</xdr:colOff>
      <xdr:row>119</xdr:row>
      <xdr:rowOff>156063</xdr:rowOff>
    </xdr:to>
    <xdr:sp macro="" textlink="">
      <xdr:nvSpPr>
        <xdr:cNvPr id="4" name="Text Box 63"/>
        <xdr:cNvSpPr txBox="1">
          <a:spLocks noChangeArrowheads="1"/>
        </xdr:cNvSpPr>
      </xdr:nvSpPr>
      <xdr:spPr bwMode="auto">
        <a:xfrm>
          <a:off x="1846384" y="25614923"/>
          <a:ext cx="614704" cy="16583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66" mc:Ignorable="a14" a14:legacySpreadsheetColorIndex="6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27432" bIns="0" anchor="ctr" upright="1"/>
        <a:lstStyle/>
        <a:p>
          <a:pPr algn="ctr" rtl="0">
            <a:defRPr sz="1000"/>
          </a:pPr>
          <a:r>
            <a:rPr lang="de-DE" sz="900" b="1" i="0" u="none" strike="noStrike" baseline="0">
              <a:solidFill>
                <a:srgbClr val="FFFF99"/>
              </a:solidFill>
              <a:latin typeface="Geneva"/>
            </a:rPr>
            <a:t>14,3</a:t>
          </a:r>
        </a:p>
      </xdr:txBody>
    </xdr:sp>
    <xdr:clientData/>
  </xdr:twoCellAnchor>
  <xdr:twoCellAnchor>
    <xdr:from>
      <xdr:col>4</xdr:col>
      <xdr:colOff>194733</xdr:colOff>
      <xdr:row>117</xdr:row>
      <xdr:rowOff>16933</xdr:rowOff>
    </xdr:from>
    <xdr:to>
      <xdr:col>5</xdr:col>
      <xdr:colOff>182033</xdr:colOff>
      <xdr:row>118</xdr:row>
      <xdr:rowOff>9313</xdr:rowOff>
    </xdr:to>
    <xdr:sp macro="" textlink="">
      <xdr:nvSpPr>
        <xdr:cNvPr id="6" name="Text Box 48"/>
        <xdr:cNvSpPr txBox="1">
          <a:spLocks noChangeArrowheads="1"/>
        </xdr:cNvSpPr>
      </xdr:nvSpPr>
      <xdr:spPr bwMode="auto">
        <a:xfrm>
          <a:off x="2286000" y="25400000"/>
          <a:ext cx="766233" cy="161713"/>
        </a:xfrm>
        <a:prstGeom prst="rect">
          <a:avLst/>
        </a:prstGeom>
        <a:solidFill>
          <a:srgbClr val="66669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27432" bIns="0" anchor="ctr" upright="1"/>
        <a:lstStyle/>
        <a:p>
          <a:pPr algn="ctr" rtl="0">
            <a:defRPr sz="1000"/>
          </a:pPr>
          <a:r>
            <a:rPr lang="de-DE" sz="900" b="1" i="0" u="none" strike="noStrike" baseline="0">
              <a:solidFill>
                <a:srgbClr val="FFFF99"/>
              </a:solidFill>
              <a:latin typeface="Geneva"/>
            </a:rPr>
            <a:t>14,3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38100</xdr:rowOff>
    </xdr:from>
    <xdr:to>
      <xdr:col>15</xdr:col>
      <xdr:colOff>30480</xdr:colOff>
      <xdr:row>34</xdr:row>
      <xdr:rowOff>99060</xdr:rowOff>
    </xdr:to>
    <xdr:graphicFrame macro="">
      <xdr:nvGraphicFramePr>
        <xdr:cNvPr id="9636" name="Diagramm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53340</xdr:colOff>
      <xdr:row>41</xdr:row>
      <xdr:rowOff>121920</xdr:rowOff>
    </xdr:from>
    <xdr:to>
      <xdr:col>7</xdr:col>
      <xdr:colOff>579120</xdr:colOff>
      <xdr:row>68</xdr:row>
      <xdr:rowOff>121920</xdr:rowOff>
    </xdr:to>
    <xdr:graphicFrame macro="">
      <xdr:nvGraphicFramePr>
        <xdr:cNvPr id="9637" name="Diagramm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775788</xdr:colOff>
      <xdr:row>41</xdr:row>
      <xdr:rowOff>154940</xdr:rowOff>
    </xdr:from>
    <xdr:to>
      <xdr:col>14</xdr:col>
      <xdr:colOff>669108</xdr:colOff>
      <xdr:row>69</xdr:row>
      <xdr:rowOff>15240</xdr:rowOff>
    </xdr:to>
    <xdr:graphicFrame macro="">
      <xdr:nvGraphicFramePr>
        <xdr:cNvPr id="9638" name="Diagramm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1</xdr:row>
      <xdr:rowOff>38100</xdr:rowOff>
    </xdr:from>
    <xdr:to>
      <xdr:col>15</xdr:col>
      <xdr:colOff>91440</xdr:colOff>
      <xdr:row>34</xdr:row>
      <xdr:rowOff>99060</xdr:rowOff>
    </xdr:to>
    <xdr:graphicFrame macro="">
      <xdr:nvGraphicFramePr>
        <xdr:cNvPr id="108847" name="Diagramm 30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68580</xdr:colOff>
      <xdr:row>41</xdr:row>
      <xdr:rowOff>76200</xdr:rowOff>
    </xdr:from>
    <xdr:to>
      <xdr:col>7</xdr:col>
      <xdr:colOff>807720</xdr:colOff>
      <xdr:row>68</xdr:row>
      <xdr:rowOff>76200</xdr:rowOff>
    </xdr:to>
    <xdr:graphicFrame macro="">
      <xdr:nvGraphicFramePr>
        <xdr:cNvPr id="108848" name="Diagramm 30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861060</xdr:colOff>
      <xdr:row>41</xdr:row>
      <xdr:rowOff>76200</xdr:rowOff>
    </xdr:from>
    <xdr:to>
      <xdr:col>14</xdr:col>
      <xdr:colOff>914400</xdr:colOff>
      <xdr:row>68</xdr:row>
      <xdr:rowOff>76200</xdr:rowOff>
    </xdr:to>
    <xdr:graphicFrame macro="">
      <xdr:nvGraphicFramePr>
        <xdr:cNvPr id="108849" name="Diagramm 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38100</xdr:rowOff>
    </xdr:from>
    <xdr:to>
      <xdr:col>15</xdr:col>
      <xdr:colOff>129540</xdr:colOff>
      <xdr:row>34</xdr:row>
      <xdr:rowOff>91440</xdr:rowOff>
    </xdr:to>
    <xdr:graphicFrame macro="">
      <xdr:nvGraphicFramePr>
        <xdr:cNvPr id="113966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107768</xdr:colOff>
      <xdr:row>41</xdr:row>
      <xdr:rowOff>118654</xdr:rowOff>
    </xdr:from>
    <xdr:to>
      <xdr:col>7</xdr:col>
      <xdr:colOff>648788</xdr:colOff>
      <xdr:row>69</xdr:row>
      <xdr:rowOff>0</xdr:rowOff>
    </xdr:to>
    <xdr:graphicFrame macro="">
      <xdr:nvGraphicFramePr>
        <xdr:cNvPr id="113967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748937</xdr:colOff>
      <xdr:row>41</xdr:row>
      <xdr:rowOff>118654</xdr:rowOff>
    </xdr:from>
    <xdr:to>
      <xdr:col>15</xdr:col>
      <xdr:colOff>9797</xdr:colOff>
      <xdr:row>69</xdr:row>
      <xdr:rowOff>0</xdr:rowOff>
    </xdr:to>
    <xdr:graphicFrame macro="">
      <xdr:nvGraphicFramePr>
        <xdr:cNvPr id="113968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38100</xdr:rowOff>
    </xdr:from>
    <xdr:to>
      <xdr:col>15</xdr:col>
      <xdr:colOff>91440</xdr:colOff>
      <xdr:row>34</xdr:row>
      <xdr:rowOff>99060</xdr:rowOff>
    </xdr:to>
    <xdr:graphicFrame macro="">
      <xdr:nvGraphicFramePr>
        <xdr:cNvPr id="119086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68580</xdr:colOff>
      <xdr:row>41</xdr:row>
      <xdr:rowOff>53340</xdr:rowOff>
    </xdr:from>
    <xdr:to>
      <xdr:col>7</xdr:col>
      <xdr:colOff>624840</xdr:colOff>
      <xdr:row>68</xdr:row>
      <xdr:rowOff>68580</xdr:rowOff>
    </xdr:to>
    <xdr:graphicFrame macro="">
      <xdr:nvGraphicFramePr>
        <xdr:cNvPr id="119087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678180</xdr:colOff>
      <xdr:row>41</xdr:row>
      <xdr:rowOff>53340</xdr:rowOff>
    </xdr:from>
    <xdr:to>
      <xdr:col>14</xdr:col>
      <xdr:colOff>891540</xdr:colOff>
      <xdr:row>68</xdr:row>
      <xdr:rowOff>68580</xdr:rowOff>
    </xdr:to>
    <xdr:graphicFrame macro="">
      <xdr:nvGraphicFramePr>
        <xdr:cNvPr id="119088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15602</xdr:rowOff>
    </xdr:from>
    <xdr:to>
      <xdr:col>15</xdr:col>
      <xdr:colOff>264942</xdr:colOff>
      <xdr:row>34</xdr:row>
      <xdr:rowOff>31038</xdr:rowOff>
    </xdr:to>
    <xdr:graphicFrame macro="">
      <xdr:nvGraphicFramePr>
        <xdr:cNvPr id="124413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40</xdr:row>
      <xdr:rowOff>33285</xdr:rowOff>
    </xdr:from>
    <xdr:to>
      <xdr:col>8</xdr:col>
      <xdr:colOff>735624</xdr:colOff>
      <xdr:row>72</xdr:row>
      <xdr:rowOff>57659</xdr:rowOff>
    </xdr:to>
    <xdr:graphicFrame macro="">
      <xdr:nvGraphicFramePr>
        <xdr:cNvPr id="124414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25400</xdr:colOff>
      <xdr:row>72</xdr:row>
      <xdr:rowOff>67632</xdr:rowOff>
    </xdr:from>
    <xdr:to>
      <xdr:col>8</xdr:col>
      <xdr:colOff>756921</xdr:colOff>
      <xdr:row>104</xdr:row>
      <xdr:rowOff>13427</xdr:rowOff>
    </xdr:to>
    <xdr:graphicFrame macro="">
      <xdr:nvGraphicFramePr>
        <xdr:cNvPr id="124415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891791</xdr:colOff>
      <xdr:row>44</xdr:row>
      <xdr:rowOff>71120</xdr:rowOff>
    </xdr:from>
    <xdr:to>
      <xdr:col>11</xdr:col>
      <xdr:colOff>40640</xdr:colOff>
      <xdr:row>59</xdr:row>
      <xdr:rowOff>130628</xdr:rowOff>
    </xdr:to>
    <xdr:graphicFrame macro="">
      <xdr:nvGraphicFramePr>
        <xdr:cNvPr id="7" name="Diagram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101950</xdr:colOff>
      <xdr:row>43</xdr:row>
      <xdr:rowOff>97971</xdr:rowOff>
    </xdr:from>
    <xdr:to>
      <xdr:col>13</xdr:col>
      <xdr:colOff>359229</xdr:colOff>
      <xdr:row>59</xdr:row>
      <xdr:rowOff>130628</xdr:rowOff>
    </xdr:to>
    <xdr:graphicFrame macro="">
      <xdr:nvGraphicFramePr>
        <xdr:cNvPr id="8" name="Diagram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325120</xdr:colOff>
      <xdr:row>43</xdr:row>
      <xdr:rowOff>0</xdr:rowOff>
    </xdr:from>
    <xdr:to>
      <xdr:col>16</xdr:col>
      <xdr:colOff>119742</xdr:colOff>
      <xdr:row>60</xdr:row>
      <xdr:rowOff>0</xdr:rowOff>
    </xdr:to>
    <xdr:graphicFrame macro="">
      <xdr:nvGraphicFramePr>
        <xdr:cNvPr id="9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1016726</xdr:colOff>
      <xdr:row>59</xdr:row>
      <xdr:rowOff>111033</xdr:rowOff>
    </xdr:from>
    <xdr:to>
      <xdr:col>15</xdr:col>
      <xdr:colOff>322944</xdr:colOff>
      <xdr:row>82</xdr:row>
      <xdr:rowOff>67491</xdr:rowOff>
    </xdr:to>
    <xdr:graphicFrame macro="">
      <xdr:nvGraphicFramePr>
        <xdr:cNvPr id="15" name="Diagramm 3" title="Basal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oneCellAnchor>
    <xdr:from>
      <xdr:col>10</xdr:col>
      <xdr:colOff>576944</xdr:colOff>
      <xdr:row>41</xdr:row>
      <xdr:rowOff>87085</xdr:rowOff>
    </xdr:from>
    <xdr:ext cx="2971800" cy="272144"/>
    <xdr:sp macro="" textlink="">
      <xdr:nvSpPr>
        <xdr:cNvPr id="2" name="Textfeld 1"/>
        <xdr:cNvSpPr txBox="1"/>
      </xdr:nvSpPr>
      <xdr:spPr>
        <a:xfrm>
          <a:off x="10025744" y="6825342"/>
          <a:ext cx="2971800" cy="272144"/>
        </a:xfrm>
        <a:prstGeom prst="rec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ctr"/>
          <a:r>
            <a:rPr lang="de-DE" sz="1400" b="1"/>
            <a:t>Faktoren zur Bolus -Bestimmung (pp)</a:t>
          </a:r>
        </a:p>
      </xdr:txBody>
    </xdr:sp>
    <xdr:clientData/>
  </xdr:oneCellAnchor>
  <xdr:twoCellAnchor>
    <xdr:from>
      <xdr:col>8</xdr:col>
      <xdr:colOff>916941</xdr:colOff>
      <xdr:row>81</xdr:row>
      <xdr:rowOff>94342</xdr:rowOff>
    </xdr:from>
    <xdr:to>
      <xdr:col>15</xdr:col>
      <xdr:colOff>233681</xdr:colOff>
      <xdr:row>105</xdr:row>
      <xdr:rowOff>94343</xdr:rowOff>
    </xdr:to>
    <xdr:graphicFrame macro="">
      <xdr:nvGraphicFramePr>
        <xdr:cNvPr id="11" name="Diagramm 2" title="Tagesprofile (ohne pp)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0.07618</cdr:x>
      <cdr:y>0.07153</cdr:y>
    </cdr:from>
    <cdr:to>
      <cdr:x>0.2369</cdr:x>
      <cdr:y>0.36542</cdr:y>
    </cdr:to>
    <cdr:sp macro="" textlink="">
      <cdr:nvSpPr>
        <cdr:cNvPr id="2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3668" y="229704"/>
          <a:ext cx="957120" cy="943778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19050">
          <a:solidFill>
            <a:srgbClr xmlns:mc="http://schemas.openxmlformats.org/markup-compatibility/2006" xmlns:a14="http://schemas.microsoft.com/office/drawing/2010/main" val="FF6600" mc:Ignorable="a14" a14:legacySpreadsheetColorIndex="53"/>
          </a:solidFill>
          <a:miter lim="800000"/>
          <a:headEnd/>
          <a:tailEnd/>
        </a:ln>
      </cdr:spPr>
      <cdr:txBody>
        <a:bodyPr xmlns:a="http://schemas.openxmlformats.org/drawingml/2006/main" wrap="square" lIns="45720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de-DE" sz="1400" b="1" i="0" u="none" strike="noStrike" baseline="0">
              <a:solidFill>
                <a:schemeClr val="accent6">
                  <a:lumMod val="75000"/>
                </a:schemeClr>
              </a:solidFill>
              <a:latin typeface="Geneva"/>
            </a:rPr>
            <a:t>Gauß </a:t>
          </a:r>
        </a:p>
        <a:p xmlns:a="http://schemas.openxmlformats.org/drawingml/2006/main">
          <a:pPr algn="l" rtl="0">
            <a:defRPr sz="1000"/>
          </a:pPr>
          <a:r>
            <a:rPr lang="de-DE" sz="1400" b="1" i="0" u="none" strike="noStrike" baseline="0">
              <a:solidFill>
                <a:schemeClr val="accent6">
                  <a:lumMod val="75000"/>
                </a:schemeClr>
              </a:solidFill>
              <a:latin typeface="Geneva"/>
            </a:rPr>
            <a:t>x</a:t>
          </a:r>
          <a:r>
            <a:rPr lang="de-DE" sz="1400" b="1" i="0" u="none" strike="noStrike" baseline="-25000">
              <a:solidFill>
                <a:schemeClr val="accent6">
                  <a:lumMod val="75000"/>
                </a:schemeClr>
              </a:solidFill>
              <a:latin typeface="Geneva"/>
            </a:rPr>
            <a:t>q</a:t>
          </a:r>
          <a:r>
            <a:rPr lang="de-DE" sz="1400" b="1" i="0" u="none" strike="noStrike" baseline="0">
              <a:solidFill>
                <a:schemeClr val="accent6">
                  <a:lumMod val="75000"/>
                </a:schemeClr>
              </a:solidFill>
              <a:latin typeface="Geneva"/>
            </a:rPr>
            <a:t>=7,25</a:t>
          </a:r>
        </a:p>
        <a:p xmlns:a="http://schemas.openxmlformats.org/drawingml/2006/main">
          <a:pPr algn="l" rtl="0">
            <a:defRPr sz="1000"/>
          </a:pPr>
          <a:r>
            <a:rPr lang="de-DE" sz="1400" b="1" i="0" u="none" strike="noStrike" baseline="0">
              <a:solidFill>
                <a:schemeClr val="accent6">
                  <a:lumMod val="75000"/>
                </a:schemeClr>
              </a:solidFill>
              <a:latin typeface="Geneva"/>
            </a:rPr>
            <a:t>n =64</a:t>
          </a:r>
        </a:p>
        <a:p xmlns:a="http://schemas.openxmlformats.org/drawingml/2006/main">
          <a:pPr algn="l" rtl="0">
            <a:defRPr sz="1000"/>
          </a:pPr>
          <a:r>
            <a:rPr lang="el-GR" sz="1400" b="1" i="0" u="none" strike="noStrike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σ</a:t>
          </a:r>
          <a:r>
            <a:rPr lang="de-DE" sz="1400" b="1" i="0" u="none" strike="noStrike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= </a:t>
          </a:r>
          <a:r>
            <a:rPr lang="de-DE" sz="1400" b="1" i="0" u="none" strike="noStrike" baseline="0">
              <a:solidFill>
                <a:schemeClr val="accent6">
                  <a:lumMod val="75000"/>
                </a:schemeClr>
              </a:solidFill>
              <a:latin typeface="Geneva"/>
            </a:rPr>
            <a:t>ca.1,1</a:t>
          </a:r>
          <a:endParaRPr lang="de-DE" sz="1400">
            <a:solidFill>
              <a:schemeClr val="accent6">
                <a:lumMod val="75000"/>
              </a:schemeClr>
            </a:solidFill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14548</xdr:colOff>
      <xdr:row>8</xdr:row>
      <xdr:rowOff>101138</xdr:rowOff>
    </xdr:from>
    <xdr:to>
      <xdr:col>5</xdr:col>
      <xdr:colOff>502228</xdr:colOff>
      <xdr:row>23</xdr:row>
      <xdr:rowOff>101138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510540</xdr:colOff>
      <xdr:row>8</xdr:row>
      <xdr:rowOff>101831</xdr:rowOff>
    </xdr:from>
    <xdr:to>
      <xdr:col>11</xdr:col>
      <xdr:colOff>76200</xdr:colOff>
      <xdr:row>23</xdr:row>
      <xdr:rowOff>101831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821333" cy="6985000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0.31097</cdr:x>
      <cdr:y>0.01576</cdr:y>
    </cdr:from>
    <cdr:to>
      <cdr:x>0.53357</cdr:x>
      <cdr:y>0.08776</cdr:y>
    </cdr:to>
    <cdr:sp macro="" textlink="">
      <cdr:nvSpPr>
        <cdr:cNvPr id="6" name="Rechteck 5"/>
        <cdr:cNvSpPr/>
      </cdr:nvSpPr>
      <cdr:spPr>
        <a:xfrm xmlns:a="http://schemas.openxmlformats.org/drawingml/2006/main">
          <a:off x="3054140" y="110067"/>
          <a:ext cx="2186229" cy="502937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noAutofit/>
        </a:bodyPr>
        <a:lstStyle xmlns:a="http://schemas.openxmlformats.org/drawingml/2006/main"/>
        <a:p xmlns:a="http://schemas.openxmlformats.org/drawingml/2006/main">
          <a:pPr algn="ctr"/>
          <a:r>
            <a:rPr lang="de-DE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ab Jan. 2017</a:t>
          </a:r>
          <a:endParaRPr lang="de-DE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cdr:txBody>
    </cdr:sp>
  </cdr:relSizeAnchor>
  <cdr:relSizeAnchor xmlns:cdr="http://schemas.openxmlformats.org/drawingml/2006/chartDrawing">
    <cdr:from>
      <cdr:x>0.4906</cdr:x>
      <cdr:y>0.43391</cdr:y>
    </cdr:from>
    <cdr:to>
      <cdr:x>0.5094</cdr:x>
      <cdr:y>0.56609</cdr:y>
    </cdr:to>
    <cdr:sp macro="" textlink="">
      <cdr:nvSpPr>
        <cdr:cNvPr id="8" name="Rechteck 7"/>
        <cdr:cNvSpPr/>
      </cdr:nvSpPr>
      <cdr:spPr>
        <a:xfrm xmlns:a="http://schemas.openxmlformats.org/drawingml/2006/main">
          <a:off x="4818333" y="3030835"/>
          <a:ext cx="184666" cy="92333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algn="ctr"/>
          <a:endParaRPr lang="de-DE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15240</xdr:rowOff>
    </xdr:from>
    <xdr:to>
      <xdr:col>35</xdr:col>
      <xdr:colOff>313267</xdr:colOff>
      <xdr:row>27</xdr:row>
      <xdr:rowOff>213360</xdr:rowOff>
    </xdr:to>
    <xdr:graphicFrame macro="">
      <xdr:nvGraphicFramePr>
        <xdr:cNvPr id="133622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35</xdr:col>
      <xdr:colOff>296333</xdr:colOff>
      <xdr:row>14</xdr:row>
      <xdr:rowOff>15240</xdr:rowOff>
    </xdr:to>
    <xdr:graphicFrame macro="">
      <xdr:nvGraphicFramePr>
        <xdr:cNvPr id="13362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</xdr:row>
      <xdr:rowOff>213360</xdr:rowOff>
    </xdr:from>
    <xdr:to>
      <xdr:col>35</xdr:col>
      <xdr:colOff>313267</xdr:colOff>
      <xdr:row>42</xdr:row>
      <xdr:rowOff>15240</xdr:rowOff>
    </xdr:to>
    <xdr:graphicFrame macro="">
      <xdr:nvGraphicFramePr>
        <xdr:cNvPr id="133624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77492</xdr:colOff>
      <xdr:row>42</xdr:row>
      <xdr:rowOff>51216</xdr:rowOff>
    </xdr:from>
    <xdr:to>
      <xdr:col>40</xdr:col>
      <xdr:colOff>88377</xdr:colOff>
      <xdr:row>71</xdr:row>
      <xdr:rowOff>37300</xdr:rowOff>
    </xdr:to>
    <xdr:graphicFrame macro="">
      <xdr:nvGraphicFramePr>
        <xdr:cNvPr id="133625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8</xdr:col>
      <xdr:colOff>127000</xdr:colOff>
      <xdr:row>69</xdr:row>
      <xdr:rowOff>110928</xdr:rowOff>
    </xdr:from>
    <xdr:ext cx="8669865" cy="426615"/>
    <xdr:sp macro="" textlink="">
      <xdr:nvSpPr>
        <xdr:cNvPr id="133126" name="Text Box 6"/>
        <xdr:cNvSpPr txBox="1">
          <a:spLocks noChangeArrowheads="1"/>
        </xdr:cNvSpPr>
      </xdr:nvSpPr>
      <xdr:spPr bwMode="auto">
        <a:xfrm>
          <a:off x="2768600" y="15884328"/>
          <a:ext cx="8669865" cy="426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36576" tIns="32004" rIns="36576" bIns="0" anchor="t" upright="1">
          <a:noAutofit/>
        </a:bodyPr>
        <a:lstStyle/>
        <a:p>
          <a:pPr algn="ctr" rtl="0">
            <a:defRPr sz="1000"/>
          </a:pP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-</a:t>
          </a:r>
          <a:r>
            <a:rPr lang="de-DE" sz="900" b="0" i="0" u="none" strike="noStrike" baseline="0" dirty="0" err="1" smtClean="0">
              <a:solidFill>
                <a:srgbClr val="000000"/>
              </a:solidFill>
              <a:latin typeface="Geneva"/>
            </a:rPr>
            <a:t>3</a:t>
          </a:r>
          <a:r>
            <a:rPr lang="el-GR" sz="900" b="0" i="0" u="none" strike="noStrike" baseline="0" dirty="0" err="1" smtClean="0">
              <a:solidFill>
                <a:srgbClr val="000000"/>
              </a:solidFill>
              <a:latin typeface="Geneva"/>
            </a:rPr>
            <a:t>σ</a:t>
          </a:r>
          <a:r>
            <a:rPr lang="de-DE" sz="900" b="0" i="0" u="none" strike="noStrike" baseline="0" dirty="0" smtClean="0">
              <a:solidFill>
                <a:srgbClr val="000000"/>
              </a:solidFill>
              <a:latin typeface="Geneva"/>
            </a:rPr>
            <a:t>                       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-</a:t>
          </a:r>
          <a:r>
            <a:rPr lang="de-DE" sz="900" b="0" i="0" u="none" strike="noStrike" baseline="0" dirty="0" err="1" smtClean="0">
              <a:solidFill>
                <a:srgbClr val="000000"/>
              </a:solidFill>
              <a:latin typeface="Geneva"/>
            </a:rPr>
            <a:t>2</a:t>
          </a:r>
          <a:r>
            <a:rPr lang="el-GR" sz="900" b="0" i="0" u="none" strike="noStrike" baseline="0" dirty="0" err="1" smtClean="0">
              <a:solidFill>
                <a:srgbClr val="000000"/>
              </a:solidFill>
              <a:latin typeface="Geneva"/>
            </a:rPr>
            <a:t>σ</a:t>
          </a:r>
          <a:r>
            <a:rPr lang="de-DE" sz="900" b="0" i="0" u="none" strike="noStrike" baseline="0" dirty="0" smtClean="0">
              <a:solidFill>
                <a:srgbClr val="000000"/>
              </a:solidFill>
              <a:latin typeface="Geneva"/>
            </a:rPr>
            <a:t>                        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-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1</a:t>
          </a:r>
          <a:r>
            <a:rPr lang="el-GR" sz="900" b="0" i="0" u="none" strike="noStrike" baseline="0" dirty="0" err="1">
              <a:solidFill>
                <a:srgbClr val="000000"/>
              </a:solidFill>
              <a:latin typeface="Geneva"/>
            </a:rPr>
            <a:t>σ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        </a:t>
          </a:r>
          <a:r>
            <a:rPr lang="de-DE" sz="900" b="0" i="0" u="sng" strike="noStrike" baseline="0" dirty="0" err="1">
              <a:solidFill>
                <a:srgbClr val="000000"/>
              </a:solidFill>
              <a:latin typeface="Geneva"/>
            </a:rPr>
            <a:t>x</a:t>
          </a:r>
          <a:r>
            <a:rPr lang="de-DE" sz="900" b="0" i="0" u="sng" strike="noStrike" baseline="-25000" dirty="0" err="1">
              <a:solidFill>
                <a:srgbClr val="000000"/>
              </a:solidFill>
              <a:latin typeface="Geneva"/>
            </a:rPr>
            <a:t>q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      +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1</a:t>
          </a:r>
          <a:r>
            <a:rPr lang="el-GR" sz="900" b="0" i="0" u="none" strike="noStrike" baseline="0" dirty="0" err="1">
              <a:solidFill>
                <a:srgbClr val="000000"/>
              </a:solidFill>
              <a:latin typeface="Geneva"/>
            </a:rPr>
            <a:t>σ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       +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2</a:t>
          </a:r>
          <a:r>
            <a:rPr lang="el-GR" sz="900" b="0" i="0" u="none" strike="noStrike" baseline="0" dirty="0" err="1">
              <a:solidFill>
                <a:srgbClr val="000000"/>
              </a:solidFill>
              <a:latin typeface="Geneva"/>
            </a:rPr>
            <a:t>σ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      +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3</a:t>
          </a:r>
          <a:r>
            <a:rPr lang="el-GR" sz="900" b="0" i="0" u="none" strike="noStrike" baseline="0" dirty="0" err="1">
              <a:solidFill>
                <a:srgbClr val="000000"/>
              </a:solidFill>
              <a:latin typeface="Geneva"/>
            </a:rPr>
            <a:t>σ</a:t>
          </a:r>
          <a:endParaRPr lang="de-DE" dirty="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120831</xdr:colOff>
      <xdr:row>151</xdr:row>
      <xdr:rowOff>131717</xdr:rowOff>
    </xdr:from>
    <xdr:to>
      <xdr:col>43</xdr:col>
      <xdr:colOff>387531</xdr:colOff>
      <xdr:row>197</xdr:row>
      <xdr:rowOff>63137</xdr:rowOff>
    </xdr:to>
    <xdr:graphicFrame macro="">
      <xdr:nvGraphicFramePr>
        <xdr:cNvPr id="228556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30</xdr:col>
      <xdr:colOff>310228</xdr:colOff>
      <xdr:row>196</xdr:row>
      <xdr:rowOff>23949</xdr:rowOff>
    </xdr:from>
    <xdr:ext cx="4636858" cy="173189"/>
    <xdr:sp macro="" textlink="">
      <xdr:nvSpPr>
        <xdr:cNvPr id="228357" name="Text Box 5"/>
        <xdr:cNvSpPr txBox="1">
          <a:spLocks noChangeArrowheads="1"/>
        </xdr:cNvSpPr>
      </xdr:nvSpPr>
      <xdr:spPr bwMode="auto">
        <a:xfrm>
          <a:off x="14679371" y="20870092"/>
          <a:ext cx="4636858" cy="173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36576" tIns="32004" rIns="36576" bIns="0" anchor="t" upright="1">
          <a:spAutoFit/>
        </a:bodyPr>
        <a:lstStyle/>
        <a:p>
          <a:pPr algn="ctr" rtl="0">
            <a:defRPr sz="1000"/>
          </a:pP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-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3s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-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2s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-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1s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 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xq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  +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1s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+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2s</a:t>
          </a:r>
          <a:r>
            <a:rPr lang="de-DE" sz="900" b="0" i="0" u="none" strike="noStrike" baseline="0" dirty="0">
              <a:solidFill>
                <a:srgbClr val="000000"/>
              </a:solidFill>
              <a:latin typeface="Geneva"/>
            </a:rPr>
            <a:t>                +</a:t>
          </a:r>
          <a:r>
            <a:rPr lang="de-DE" sz="900" b="0" i="0" u="none" strike="noStrike" baseline="0" dirty="0" err="1">
              <a:solidFill>
                <a:srgbClr val="000000"/>
              </a:solidFill>
              <a:latin typeface="Geneva"/>
            </a:rPr>
            <a:t>3s</a:t>
          </a:r>
          <a:endParaRPr lang="de-DE" dirty="0"/>
        </a:p>
      </xdr:txBody>
    </xdr:sp>
    <xdr:clientData/>
  </xdr:oneCellAnchor>
  <xdr:twoCellAnchor>
    <xdr:from>
      <xdr:col>32</xdr:col>
      <xdr:colOff>285750</xdr:colOff>
      <xdr:row>215</xdr:row>
      <xdr:rowOff>114300</xdr:rowOff>
    </xdr:from>
    <xdr:to>
      <xdr:col>37</xdr:col>
      <xdr:colOff>184150</xdr:colOff>
      <xdr:row>233</xdr:row>
      <xdr:rowOff>63500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232228</xdr:colOff>
      <xdr:row>215</xdr:row>
      <xdr:rowOff>105229</xdr:rowOff>
    </xdr:from>
    <xdr:to>
      <xdr:col>42</xdr:col>
      <xdr:colOff>130628</xdr:colOff>
      <xdr:row>233</xdr:row>
      <xdr:rowOff>54429</xdr:rowOff>
    </xdr:to>
    <xdr:graphicFrame macro="">
      <xdr:nvGraphicFramePr>
        <xdr:cNvPr id="7" name="Diagram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42</xdr:col>
      <xdr:colOff>156028</xdr:colOff>
      <xdr:row>215</xdr:row>
      <xdr:rowOff>114300</xdr:rowOff>
    </xdr:from>
    <xdr:to>
      <xdr:col>46</xdr:col>
      <xdr:colOff>498928</xdr:colOff>
      <xdr:row>233</xdr:row>
      <xdr:rowOff>63500</xdr:rowOff>
    </xdr:to>
    <xdr:graphicFrame macro="">
      <xdr:nvGraphicFramePr>
        <xdr:cNvPr id="9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showGridLines="0" tabSelected="1" topLeftCell="A24" zoomScale="200" zoomScaleNormal="200" zoomScalePageLayoutView="200" workbookViewId="0">
      <selection activeCell="G51" sqref="G51"/>
    </sheetView>
  </sheetViews>
  <sheetFormatPr baseColWidth="10" defaultRowHeight="13" x14ac:dyDescent="0"/>
  <cols>
    <col min="1" max="16384" width="10.83203125" style="520"/>
  </cols>
  <sheetData>
    <row r="1" spans="1:12" ht="14" thickBot="1">
      <c r="A1" s="1291" t="s">
        <v>198</v>
      </c>
      <c r="B1" s="1260" t="s">
        <v>200</v>
      </c>
      <c r="C1" s="995"/>
      <c r="D1" s="995"/>
      <c r="E1" s="995"/>
      <c r="F1" s="34"/>
    </row>
    <row r="2" spans="1:12" ht="14" thickBot="1">
      <c r="A2" s="1261" t="s">
        <v>201</v>
      </c>
      <c r="B2" s="1309" t="s">
        <v>199</v>
      </c>
      <c r="C2" s="1309"/>
      <c r="D2" s="1309"/>
      <c r="E2" s="1309"/>
      <c r="F2" s="1309"/>
      <c r="G2" s="1309"/>
      <c r="H2" s="1309"/>
      <c r="I2" s="1309"/>
      <c r="J2" s="1309"/>
      <c r="K2" s="1309"/>
      <c r="L2" s="1310"/>
    </row>
    <row r="3" spans="1:12" ht="14" thickBot="1">
      <c r="A3" s="1264" t="s">
        <v>202</v>
      </c>
      <c r="B3" s="1307" t="s">
        <v>203</v>
      </c>
      <c r="C3" s="1307"/>
      <c r="D3" s="1307"/>
      <c r="E3" s="1307"/>
      <c r="F3" s="1307"/>
      <c r="G3" s="1307"/>
      <c r="H3" s="1307"/>
      <c r="I3" s="1307"/>
      <c r="J3" s="1307"/>
      <c r="K3" s="1307"/>
      <c r="L3" s="1308"/>
    </row>
    <row r="4" spans="1:12" ht="14" thickBot="1">
      <c r="A4" s="1265" t="s">
        <v>204</v>
      </c>
      <c r="B4" s="1309" t="s">
        <v>205</v>
      </c>
      <c r="C4" s="1309"/>
      <c r="D4" s="1309"/>
      <c r="E4" s="1309"/>
      <c r="F4" s="1309"/>
      <c r="G4" s="1309"/>
      <c r="H4" s="1309"/>
      <c r="I4" s="1309"/>
      <c r="J4" s="1309"/>
      <c r="K4" s="1309"/>
      <c r="L4" s="1262"/>
    </row>
    <row r="5" spans="1:12">
      <c r="A5" s="1266" t="s">
        <v>206</v>
      </c>
      <c r="B5" s="1314" t="s">
        <v>207</v>
      </c>
      <c r="C5" s="1314"/>
      <c r="D5" s="1314"/>
      <c r="E5" s="1314"/>
      <c r="F5" s="1314"/>
      <c r="G5" s="1314"/>
      <c r="H5" s="1314"/>
      <c r="I5" s="1314"/>
      <c r="J5" s="1314"/>
      <c r="K5" s="1314"/>
      <c r="L5" s="543"/>
    </row>
    <row r="6" spans="1:12" ht="14" thickBot="1">
      <c r="A6" s="1267"/>
      <c r="B6" s="1315" t="s">
        <v>208</v>
      </c>
      <c r="C6" s="1315"/>
      <c r="D6" s="1315"/>
      <c r="E6" s="1315"/>
      <c r="F6" s="1315"/>
      <c r="G6" s="1315"/>
      <c r="H6" s="1315"/>
      <c r="I6" s="1315"/>
      <c r="J6" s="1315"/>
      <c r="K6" s="1315"/>
      <c r="L6" s="546"/>
    </row>
    <row r="7" spans="1:12">
      <c r="A7" s="1268" t="s">
        <v>209</v>
      </c>
      <c r="B7" s="1316" t="s">
        <v>210</v>
      </c>
      <c r="C7" s="1316"/>
      <c r="D7" s="1316"/>
      <c r="E7" s="1316"/>
      <c r="F7" s="1316"/>
      <c r="G7" s="1316"/>
      <c r="H7" s="1316"/>
      <c r="I7" s="1316"/>
      <c r="J7" s="1316"/>
      <c r="K7" s="1316"/>
      <c r="L7" s="543"/>
    </row>
    <row r="8" spans="1:12" ht="14" thickBot="1">
      <c r="A8" s="1267"/>
      <c r="B8" s="1317" t="s">
        <v>224</v>
      </c>
      <c r="C8" s="1317"/>
      <c r="D8" s="1317"/>
      <c r="E8" s="1317"/>
      <c r="F8" s="1317"/>
      <c r="G8" s="1317"/>
      <c r="H8" s="1317"/>
      <c r="I8" s="1317"/>
      <c r="J8" s="1317"/>
      <c r="K8" s="1317"/>
      <c r="L8" s="546"/>
    </row>
    <row r="9" spans="1:12">
      <c r="A9" s="1266" t="s">
        <v>214</v>
      </c>
      <c r="B9" s="1314" t="s">
        <v>223</v>
      </c>
      <c r="C9" s="1314"/>
      <c r="D9" s="1314"/>
      <c r="E9" s="1314"/>
      <c r="F9" s="1314"/>
      <c r="G9" s="1314"/>
      <c r="H9" s="1314"/>
      <c r="I9" s="1314"/>
      <c r="J9" s="1314"/>
      <c r="K9" s="1314"/>
      <c r="L9" s="543"/>
    </row>
    <row r="10" spans="1:12" ht="14" thickBot="1">
      <c r="A10" s="1269"/>
      <c r="B10" s="1315" t="s">
        <v>211</v>
      </c>
      <c r="C10" s="1315"/>
      <c r="D10" s="1315"/>
      <c r="E10" s="1315"/>
      <c r="F10" s="1315"/>
      <c r="G10" s="1315"/>
      <c r="H10" s="1315"/>
      <c r="I10" s="1315"/>
      <c r="J10" s="1315"/>
      <c r="K10" s="1315"/>
      <c r="L10" s="546"/>
    </row>
    <row r="11" spans="1:12" ht="14" thickBot="1">
      <c r="A11" s="1270" t="s">
        <v>213</v>
      </c>
      <c r="B11" s="1313" t="s">
        <v>225</v>
      </c>
      <c r="C11" s="1313"/>
      <c r="D11" s="1313"/>
      <c r="E11" s="1313"/>
      <c r="F11" s="1313"/>
      <c r="G11" s="1313"/>
      <c r="H11" s="1313"/>
      <c r="I11" s="1313"/>
      <c r="J11" s="1313"/>
      <c r="K11" s="1313"/>
      <c r="L11" s="1263"/>
    </row>
    <row r="12" spans="1:12" ht="14" thickBot="1">
      <c r="A12" s="1270"/>
      <c r="B12" s="1304" t="s">
        <v>236</v>
      </c>
      <c r="C12" s="1305"/>
      <c r="D12" s="1305"/>
      <c r="E12" s="1305"/>
      <c r="F12" s="1305"/>
      <c r="G12" s="1305"/>
      <c r="H12" s="1305"/>
      <c r="I12" s="1305"/>
      <c r="J12" s="1305"/>
      <c r="K12" s="1305"/>
      <c r="L12" s="1306"/>
    </row>
    <row r="13" spans="1:12" ht="14" thickBot="1">
      <c r="A13" s="1271" t="s">
        <v>212</v>
      </c>
      <c r="B13" s="1313" t="s">
        <v>215</v>
      </c>
      <c r="C13" s="1313"/>
      <c r="D13" s="1313"/>
      <c r="E13" s="1313"/>
      <c r="F13" s="1313"/>
      <c r="G13" s="1313"/>
      <c r="H13" s="1313"/>
      <c r="I13" s="1313"/>
      <c r="J13" s="1313"/>
      <c r="K13" s="1313"/>
      <c r="L13" s="1263"/>
    </row>
    <row r="14" spans="1:12" ht="14" thickBot="1">
      <c r="A14" s="1272" t="s">
        <v>216</v>
      </c>
      <c r="B14" s="1313" t="s">
        <v>217</v>
      </c>
      <c r="C14" s="1313"/>
      <c r="D14" s="1313"/>
      <c r="E14" s="1313"/>
      <c r="F14" s="1313"/>
      <c r="G14" s="1313"/>
      <c r="H14" s="1313"/>
      <c r="I14" s="1313"/>
      <c r="J14" s="1313"/>
      <c r="K14" s="1313"/>
      <c r="L14" s="1263"/>
    </row>
    <row r="15" spans="1:12" ht="14" thickBot="1">
      <c r="A15" s="1273" t="s">
        <v>218</v>
      </c>
      <c r="B15" s="1309" t="s">
        <v>219</v>
      </c>
      <c r="C15" s="1309"/>
      <c r="D15" s="1309"/>
      <c r="E15" s="1309"/>
      <c r="F15" s="1309"/>
      <c r="G15" s="1309"/>
      <c r="H15" s="1309"/>
      <c r="I15" s="1309"/>
      <c r="J15" s="1309"/>
      <c r="K15" s="1309"/>
      <c r="L15" s="1263"/>
    </row>
    <row r="16" spans="1:12" ht="14" thickBot="1">
      <c r="A16" s="1274" t="s">
        <v>220</v>
      </c>
      <c r="B16" s="1299" t="s">
        <v>221</v>
      </c>
      <c r="C16" s="1299"/>
      <c r="D16" s="1299"/>
      <c r="E16" s="1299"/>
      <c r="F16" s="1299"/>
      <c r="G16" s="1299"/>
      <c r="H16" s="1299"/>
      <c r="I16" s="1299"/>
      <c r="J16" s="1299"/>
      <c r="K16" s="1299"/>
      <c r="L16" s="1263"/>
    </row>
    <row r="17" spans="1:12">
      <c r="A17" s="1275" t="s">
        <v>222</v>
      </c>
      <c r="B17" s="1311" t="s">
        <v>226</v>
      </c>
      <c r="C17" s="1311"/>
      <c r="D17" s="1311"/>
      <c r="E17" s="1311"/>
      <c r="F17" s="1311"/>
      <c r="G17" s="1311"/>
      <c r="H17" s="1311"/>
      <c r="I17" s="1311"/>
      <c r="J17" s="1311"/>
      <c r="K17" s="1311"/>
      <c r="L17" s="543"/>
    </row>
    <row r="18" spans="1:12" ht="14" thickBot="1">
      <c r="A18" s="1276"/>
      <c r="B18" s="1312" t="s">
        <v>227</v>
      </c>
      <c r="C18" s="1312"/>
      <c r="D18" s="1312"/>
      <c r="E18" s="1312"/>
      <c r="F18" s="1312"/>
      <c r="G18" s="1312"/>
      <c r="H18" s="1312"/>
      <c r="I18" s="1312"/>
      <c r="J18" s="1312"/>
      <c r="K18" s="1312"/>
      <c r="L18" s="545"/>
    </row>
    <row r="19" spans="1:12">
      <c r="A19" s="1277" t="s">
        <v>228</v>
      </c>
      <c r="B19" s="1311" t="s">
        <v>229</v>
      </c>
      <c r="C19" s="1311"/>
      <c r="D19" s="1311"/>
      <c r="E19" s="1311"/>
      <c r="F19" s="1311"/>
      <c r="G19" s="1311"/>
      <c r="H19" s="1311"/>
      <c r="I19" s="1311"/>
      <c r="J19" s="1311"/>
      <c r="K19" s="1311"/>
      <c r="L19" s="1318"/>
    </row>
    <row r="20" spans="1:12" ht="14" thickBot="1">
      <c r="A20" s="1591"/>
      <c r="B20" s="1301" t="s">
        <v>230</v>
      </c>
      <c r="C20" s="1301"/>
      <c r="D20" s="1301"/>
      <c r="E20" s="1301"/>
      <c r="F20" s="1301"/>
      <c r="G20" s="1301"/>
      <c r="H20" s="1301"/>
      <c r="I20" s="1301"/>
      <c r="J20" s="1301"/>
      <c r="K20" s="1301"/>
      <c r="L20" s="1303"/>
    </row>
    <row r="21" spans="1:12" ht="14" thickBot="1">
      <c r="A21" s="1592" t="s">
        <v>255</v>
      </c>
      <c r="B21" s="1305" t="s">
        <v>256</v>
      </c>
      <c r="C21" s="1305"/>
      <c r="D21" s="1305"/>
      <c r="E21" s="1305"/>
      <c r="F21" s="1305"/>
      <c r="G21" s="1305"/>
      <c r="H21" s="1305"/>
      <c r="I21" s="1305"/>
      <c r="J21" s="1305"/>
      <c r="K21" s="1305"/>
      <c r="L21" s="1306"/>
    </row>
    <row r="23" spans="1:12" ht="14" thickBot="1">
      <c r="A23" s="1106" t="s">
        <v>198</v>
      </c>
      <c r="B23" s="1282" t="s">
        <v>237</v>
      </c>
      <c r="C23" s="1283" t="s">
        <v>238</v>
      </c>
      <c r="D23" s="1284" t="s">
        <v>239</v>
      </c>
      <c r="E23" s="1285" t="s">
        <v>240</v>
      </c>
      <c r="F23" s="1286" t="s">
        <v>172</v>
      </c>
    </row>
    <row r="24" spans="1:12" ht="14" thickBot="1">
      <c r="A24" s="1106"/>
      <c r="B24" s="1298" t="s">
        <v>241</v>
      </c>
      <c r="C24" s="1301"/>
      <c r="D24" s="1301"/>
      <c r="E24" s="1301"/>
      <c r="F24" s="1301"/>
      <c r="G24" s="1299"/>
      <c r="H24" s="1299"/>
      <c r="I24" s="1299"/>
      <c r="J24" s="1299"/>
      <c r="K24" s="1299"/>
      <c r="L24" s="1300"/>
    </row>
    <row r="25" spans="1:12" ht="14" thickBot="1">
      <c r="A25" s="1106"/>
      <c r="B25" s="1302" t="s">
        <v>242</v>
      </c>
      <c r="C25" s="1299"/>
      <c r="D25" s="1299"/>
      <c r="E25" s="1299"/>
      <c r="F25" s="1299"/>
      <c r="G25" s="1299"/>
      <c r="H25" s="1299"/>
      <c r="I25" s="1299"/>
      <c r="J25" s="1299"/>
      <c r="K25" s="1299"/>
      <c r="L25" s="1300"/>
    </row>
    <row r="26" spans="1:12">
      <c r="A26" s="1106"/>
    </row>
    <row r="27" spans="1:12" ht="14" thickBot="1">
      <c r="A27" s="1106" t="s">
        <v>198</v>
      </c>
      <c r="B27" s="1287" t="s">
        <v>243</v>
      </c>
    </row>
    <row r="28" spans="1:12" ht="14" thickBot="1">
      <c r="A28" s="1106"/>
      <c r="B28" s="1298" t="s">
        <v>244</v>
      </c>
      <c r="C28" s="1299"/>
      <c r="D28" s="1299"/>
      <c r="E28" s="1299"/>
      <c r="F28" s="1299"/>
      <c r="G28" s="1299"/>
      <c r="H28" s="1299"/>
      <c r="I28" s="1299"/>
      <c r="J28" s="1299"/>
      <c r="K28" s="1299"/>
      <c r="L28" s="1300"/>
    </row>
    <row r="29" spans="1:12">
      <c r="A29" s="1106"/>
    </row>
    <row r="30" spans="1:12" ht="14" thickBot="1">
      <c r="A30" s="1106" t="s">
        <v>198</v>
      </c>
      <c r="B30" s="1288" t="s">
        <v>245</v>
      </c>
    </row>
    <row r="31" spans="1:12" ht="14" thickBot="1">
      <c r="A31" s="1106"/>
      <c r="B31" s="1298" t="s">
        <v>246</v>
      </c>
      <c r="C31" s="1299"/>
      <c r="D31" s="1299"/>
      <c r="E31" s="1299"/>
      <c r="F31" s="1299"/>
      <c r="G31" s="1299"/>
      <c r="H31" s="1299"/>
      <c r="I31" s="1299"/>
      <c r="J31" s="1299"/>
      <c r="K31" s="1299"/>
      <c r="L31" s="1300"/>
    </row>
    <row r="32" spans="1:12">
      <c r="A32" s="1106"/>
    </row>
    <row r="33" spans="1:12" ht="14" thickBot="1">
      <c r="A33" s="1106" t="s">
        <v>198</v>
      </c>
      <c r="B33" s="1289" t="s">
        <v>247</v>
      </c>
    </row>
    <row r="34" spans="1:12" ht="14" thickBot="1">
      <c r="A34" s="1106"/>
      <c r="B34" s="1298" t="s">
        <v>248</v>
      </c>
      <c r="C34" s="1299"/>
      <c r="D34" s="1299"/>
      <c r="E34" s="1299"/>
      <c r="F34" s="1299"/>
      <c r="G34" s="1299"/>
      <c r="H34" s="1299"/>
      <c r="I34" s="1299"/>
      <c r="J34" s="1299"/>
      <c r="K34" s="1299"/>
      <c r="L34" s="1300"/>
    </row>
    <row r="35" spans="1:12">
      <c r="A35" s="1106"/>
    </row>
    <row r="36" spans="1:12" ht="14" thickBot="1">
      <c r="A36" s="1106" t="s">
        <v>198</v>
      </c>
      <c r="B36" s="1281" t="s">
        <v>249</v>
      </c>
    </row>
    <row r="37" spans="1:12" ht="14" thickBot="1">
      <c r="A37" s="1106"/>
      <c r="B37" s="1298" t="s">
        <v>250</v>
      </c>
      <c r="C37" s="1299"/>
      <c r="D37" s="1299"/>
      <c r="E37" s="1299"/>
      <c r="F37" s="1299"/>
      <c r="G37" s="1299"/>
      <c r="H37" s="1299"/>
      <c r="I37" s="1299"/>
      <c r="J37" s="1299"/>
      <c r="K37" s="1299"/>
      <c r="L37" s="1300"/>
    </row>
    <row r="38" spans="1:12" ht="14" thickBot="1">
      <c r="A38" s="1106"/>
    </row>
    <row r="39" spans="1:12" ht="14" thickBot="1">
      <c r="A39" s="1106" t="s">
        <v>198</v>
      </c>
      <c r="B39" s="1290" t="s">
        <v>251</v>
      </c>
      <c r="C39" s="1290" t="s">
        <v>252</v>
      </c>
    </row>
    <row r="40" spans="1:12" ht="14" thickBot="1">
      <c r="A40" s="1106"/>
      <c r="B40" s="1298" t="s">
        <v>253</v>
      </c>
      <c r="C40" s="1301"/>
      <c r="D40" s="1299"/>
      <c r="E40" s="1299"/>
      <c r="F40" s="1299"/>
      <c r="G40" s="1299"/>
      <c r="H40" s="1299"/>
      <c r="I40" s="1299"/>
      <c r="J40" s="1299"/>
      <c r="K40" s="1299"/>
      <c r="L40" s="1300"/>
    </row>
    <row r="41" spans="1:12">
      <c r="A41" s="1106"/>
    </row>
    <row r="42" spans="1:12" ht="14" thickBot="1">
      <c r="A42" s="1106" t="s">
        <v>198</v>
      </c>
      <c r="B42" s="332" t="s">
        <v>254</v>
      </c>
    </row>
    <row r="43" spans="1:12" ht="14" thickBot="1">
      <c r="B43" s="1593" t="s">
        <v>259</v>
      </c>
      <c r="C43" s="1594"/>
      <c r="D43" s="1594"/>
      <c r="E43" s="1594"/>
      <c r="F43" s="1594"/>
      <c r="G43" s="1594"/>
      <c r="H43" s="1594"/>
      <c r="I43" s="1594"/>
      <c r="J43" s="1594"/>
      <c r="K43" s="1594"/>
      <c r="L43" s="1595"/>
    </row>
    <row r="46" spans="1:12">
      <c r="B46" s="520" t="s">
        <v>257</v>
      </c>
    </row>
    <row r="47" spans="1:12">
      <c r="B47" s="520" t="s">
        <v>258</v>
      </c>
    </row>
  </sheetData>
  <mergeCells count="28">
    <mergeCell ref="B3:L3"/>
    <mergeCell ref="B2:L2"/>
    <mergeCell ref="B15:K15"/>
    <mergeCell ref="B16:K16"/>
    <mergeCell ref="B17:K17"/>
    <mergeCell ref="B14:K14"/>
    <mergeCell ref="B4:K4"/>
    <mergeCell ref="B5:K5"/>
    <mergeCell ref="B6:K6"/>
    <mergeCell ref="B7:K7"/>
    <mergeCell ref="B8:K8"/>
    <mergeCell ref="B9:K9"/>
    <mergeCell ref="B10:K10"/>
    <mergeCell ref="B11:K11"/>
    <mergeCell ref="B13:K13"/>
    <mergeCell ref="B37:L37"/>
    <mergeCell ref="B40:L40"/>
    <mergeCell ref="B43:L43"/>
    <mergeCell ref="B20:L20"/>
    <mergeCell ref="B12:L12"/>
    <mergeCell ref="B24:L24"/>
    <mergeCell ref="B25:L25"/>
    <mergeCell ref="B28:L28"/>
    <mergeCell ref="B31:L31"/>
    <mergeCell ref="B18:K18"/>
    <mergeCell ref="B19:L19"/>
    <mergeCell ref="B34:L34"/>
    <mergeCell ref="B21:L21"/>
  </mergeCells>
  <pageMargins left="0.25" right="0.25" top="0.75" bottom="0.75" header="0.3" footer="0.3"/>
  <pageSetup paperSize="9" scale="55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 enableFormatConditionsCalculation="0">
    <tabColor theme="1"/>
    <pageSetUpPr fitToPage="1"/>
  </sheetPr>
  <dimension ref="A1:AD130"/>
  <sheetViews>
    <sheetView showGridLines="0" topLeftCell="K36" zoomScale="150" zoomScaleNormal="150" zoomScalePageLayoutView="150" workbookViewId="0">
      <selection activeCell="Y95" sqref="Y95"/>
    </sheetView>
  </sheetViews>
  <sheetFormatPr baseColWidth="10" defaultColWidth="10.83203125" defaultRowHeight="13" x14ac:dyDescent="0"/>
  <cols>
    <col min="1" max="1" width="2" style="608" customWidth="1"/>
    <col min="2" max="2" width="7.5" style="608" customWidth="1"/>
    <col min="3" max="3" width="2.6640625" style="608" customWidth="1"/>
    <col min="4" max="4" width="15.1640625" style="608" customWidth="1"/>
    <col min="5" max="17" width="10.1640625" style="608" customWidth="1"/>
    <col min="18" max="18" width="9.33203125" style="688" customWidth="1"/>
    <col min="19" max="20" width="10.1640625" style="608" customWidth="1"/>
    <col min="21" max="21" width="5.6640625" style="608" customWidth="1"/>
    <col min="22" max="22" width="10.1640625" style="608" customWidth="1"/>
    <col min="23" max="16384" width="10.83203125" style="608"/>
  </cols>
  <sheetData>
    <row r="1" spans="1:23" ht="10.75" customHeight="1">
      <c r="A1" s="606"/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7"/>
      <c r="V1" s="606"/>
      <c r="W1" s="606"/>
    </row>
    <row r="2" spans="1:23" ht="10.75" customHeight="1">
      <c r="A2" s="606"/>
      <c r="B2" s="606"/>
      <c r="C2" s="606"/>
      <c r="D2" s="609" t="s">
        <v>28</v>
      </c>
      <c r="E2" s="957">
        <f t="shared" ref="E2:Q2" si="0">WEEKNUM(E13,1)</f>
        <v>1</v>
      </c>
      <c r="F2" s="957">
        <f t="shared" si="0"/>
        <v>2</v>
      </c>
      <c r="G2" s="957">
        <f t="shared" si="0"/>
        <v>3</v>
      </c>
      <c r="H2" s="957">
        <f t="shared" si="0"/>
        <v>4</v>
      </c>
      <c r="I2" s="957">
        <f t="shared" si="0"/>
        <v>5</v>
      </c>
      <c r="J2" s="958">
        <f t="shared" si="0"/>
        <v>6</v>
      </c>
      <c r="K2" s="957">
        <f t="shared" si="0"/>
        <v>7</v>
      </c>
      <c r="L2" s="957">
        <f t="shared" si="0"/>
        <v>8</v>
      </c>
      <c r="M2" s="957">
        <f t="shared" si="0"/>
        <v>9</v>
      </c>
      <c r="N2" s="957">
        <f t="shared" si="0"/>
        <v>10</v>
      </c>
      <c r="O2" s="958">
        <f t="shared" si="0"/>
        <v>11</v>
      </c>
      <c r="P2" s="957">
        <f t="shared" si="0"/>
        <v>12</v>
      </c>
      <c r="Q2" s="957">
        <f t="shared" si="0"/>
        <v>13</v>
      </c>
      <c r="R2" s="606"/>
      <c r="S2" s="606"/>
      <c r="T2" s="606"/>
      <c r="U2" s="607"/>
      <c r="V2" s="606"/>
      <c r="W2" s="606"/>
    </row>
    <row r="3" spans="1:23" ht="13.75" customHeight="1">
      <c r="A3" s="606"/>
      <c r="B3" s="1351" t="s">
        <v>60</v>
      </c>
      <c r="C3" s="1352"/>
      <c r="D3" s="610" t="s">
        <v>50</v>
      </c>
      <c r="E3" s="611" t="str">
        <f t="shared" ref="E3:Q3" si="1">IF(E17=2,"MO",IF(E17=3,"DI",IF(E17=4,"MI",IF(E17=5,"DO",IF(E17=6,"FR",IF(E17=7,"SA","SO"))))))</f>
        <v>SO</v>
      </c>
      <c r="F3" s="985" t="str">
        <f t="shared" si="1"/>
        <v>SO</v>
      </c>
      <c r="G3" s="611" t="str">
        <f t="shared" si="1"/>
        <v>SO</v>
      </c>
      <c r="H3" s="611" t="str">
        <f t="shared" si="1"/>
        <v>SO</v>
      </c>
      <c r="I3" s="611" t="str">
        <f t="shared" si="1"/>
        <v>SO</v>
      </c>
      <c r="J3" s="612" t="str">
        <f t="shared" si="1"/>
        <v>SO</v>
      </c>
      <c r="K3" s="611" t="str">
        <f t="shared" si="1"/>
        <v>SO</v>
      </c>
      <c r="L3" s="611" t="str">
        <f t="shared" si="1"/>
        <v>SO</v>
      </c>
      <c r="M3" s="611" t="str">
        <f t="shared" si="1"/>
        <v>SO</v>
      </c>
      <c r="N3" s="611" t="str">
        <f t="shared" si="1"/>
        <v>SO</v>
      </c>
      <c r="O3" s="612" t="str">
        <f t="shared" si="1"/>
        <v>SO</v>
      </c>
      <c r="P3" s="611" t="str">
        <f t="shared" si="1"/>
        <v>SO</v>
      </c>
      <c r="Q3" s="611" t="str">
        <f t="shared" si="1"/>
        <v>SO</v>
      </c>
      <c r="R3" s="1021" t="s">
        <v>51</v>
      </c>
      <c r="S3" s="613" t="s">
        <v>22</v>
      </c>
      <c r="T3" s="1349" t="str">
        <f>CONCATENATE("±",V3,"σ")</f>
        <v>±1,645σ</v>
      </c>
      <c r="U3" s="1350"/>
      <c r="V3" s="614">
        <v>1.645</v>
      </c>
      <c r="W3" s="606"/>
    </row>
    <row r="4" spans="1:23" ht="13.75" customHeight="1">
      <c r="A4" s="606"/>
      <c r="B4" s="615">
        <v>5.5</v>
      </c>
      <c r="C4" s="616"/>
      <c r="D4" s="1149">
        <v>0.29166666666666669</v>
      </c>
      <c r="E4" s="1234">
        <v>6.166666666666667</v>
      </c>
      <c r="F4" s="1234">
        <v>6.1111111111111107</v>
      </c>
      <c r="G4" s="1234">
        <v>6</v>
      </c>
      <c r="H4" s="1234">
        <v>6.2222222222222223</v>
      </c>
      <c r="I4" s="1234">
        <v>6</v>
      </c>
      <c r="J4" s="1234">
        <v>6.2777777777777777</v>
      </c>
      <c r="K4" s="1234">
        <v>6.2222222222222223</v>
      </c>
      <c r="L4" s="1234">
        <v>6.2</v>
      </c>
      <c r="M4" s="1252">
        <v>6.1</v>
      </c>
      <c r="N4" s="1234">
        <v>6</v>
      </c>
      <c r="O4" s="1234">
        <v>6.2</v>
      </c>
      <c r="P4" s="1234">
        <v>6</v>
      </c>
      <c r="Q4" s="1234">
        <v>6.2</v>
      </c>
      <c r="R4" s="620">
        <f>IF(COUNTIF(E4:Q4,"")&gt;10,B4,AVERAGE(E4:Q4))</f>
        <v>6.1307692307692312</v>
      </c>
      <c r="S4" s="621">
        <f>IF(COUNTIF(E4:Q4,"")&gt;10,1.1,STDEV(E4:Q4))</f>
        <v>0.10154707053396356</v>
      </c>
      <c r="T4" s="620">
        <f t="shared" ref="T4:T12" si="2">R4-$V$3*S4</f>
        <v>5.9637242997408615</v>
      </c>
      <c r="U4" s="1022" t="s">
        <v>35</v>
      </c>
      <c r="V4" s="622">
        <f t="shared" ref="V4:V12" si="3">R4+$V$3*S4</f>
        <v>6.2978141617976009</v>
      </c>
      <c r="W4" s="606"/>
    </row>
    <row r="5" spans="1:23" ht="13.75" customHeight="1">
      <c r="A5" s="606"/>
      <c r="B5" s="615">
        <v>7.8</v>
      </c>
      <c r="C5" s="616"/>
      <c r="D5" s="1149">
        <v>0.39583333333333331</v>
      </c>
      <c r="E5" s="1234">
        <v>8.2222222222222214</v>
      </c>
      <c r="F5" s="1234">
        <v>9.0555555555555554</v>
      </c>
      <c r="G5" s="1234">
        <v>10.388888888888889</v>
      </c>
      <c r="H5" s="1234">
        <v>10.333333333333334</v>
      </c>
      <c r="I5" s="1234">
        <v>10.555555555555555</v>
      </c>
      <c r="J5" s="1234">
        <v>12.111111111111111</v>
      </c>
      <c r="K5" s="1234">
        <v>9.8888888888888893</v>
      </c>
      <c r="L5" s="1234">
        <v>8.1999999999999993</v>
      </c>
      <c r="M5" s="1252">
        <v>9.1</v>
      </c>
      <c r="N5" s="1234"/>
      <c r="O5" s="1234">
        <v>10.3</v>
      </c>
      <c r="P5" s="1234">
        <v>10.5</v>
      </c>
      <c r="Q5" s="1234">
        <v>9.6</v>
      </c>
      <c r="R5" s="620">
        <f t="shared" ref="R5:R9" si="4">IF(COUNTIF(E5:Q5,"")&gt;10,B5,AVERAGE(E5:Q5))</f>
        <v>9.8546296296296294</v>
      </c>
      <c r="S5" s="621">
        <f t="shared" ref="S5:S12" si="5">IF(COUNTIF(E5:Q5,"")&gt;10,1.1,STDEV(E5:Q5))</f>
        <v>1.1032597179438779</v>
      </c>
      <c r="T5" s="620">
        <f t="shared" si="2"/>
        <v>8.0397673936119496</v>
      </c>
      <c r="U5" s="1022" t="s">
        <v>35</v>
      </c>
      <c r="V5" s="622">
        <f t="shared" si="3"/>
        <v>11.669491865647309</v>
      </c>
      <c r="W5" s="606"/>
    </row>
    <row r="6" spans="1:23" ht="13.75" customHeight="1">
      <c r="A6" s="606"/>
      <c r="B6" s="615">
        <v>5.5</v>
      </c>
      <c r="C6" s="616"/>
      <c r="D6" s="1149">
        <v>0.5</v>
      </c>
      <c r="E6" s="1234">
        <v>4.7777777777777777</v>
      </c>
      <c r="F6" s="1234">
        <v>6.7777777777777777</v>
      </c>
      <c r="G6" s="1234">
        <v>6.7777777777777777</v>
      </c>
      <c r="H6" s="1234">
        <v>8.7777777777777786</v>
      </c>
      <c r="I6" s="1234">
        <v>8.7222222222222214</v>
      </c>
      <c r="J6" s="1234">
        <v>8.0555555555555554</v>
      </c>
      <c r="K6" s="1234">
        <v>6.7777777777777777</v>
      </c>
      <c r="L6" s="1234">
        <v>4.8</v>
      </c>
      <c r="M6" s="1252">
        <v>6.8</v>
      </c>
      <c r="N6" s="1234">
        <v>10.3</v>
      </c>
      <c r="O6" s="1234">
        <v>8.1999999999999993</v>
      </c>
      <c r="P6" s="1234">
        <v>8.6999999999999993</v>
      </c>
      <c r="Q6" s="1234">
        <v>6</v>
      </c>
      <c r="R6" s="620">
        <f t="shared" si="4"/>
        <v>7.3435897435897441</v>
      </c>
      <c r="S6" s="621">
        <f t="shared" si="5"/>
        <v>1.630246904590587</v>
      </c>
      <c r="T6" s="620">
        <f t="shared" si="2"/>
        <v>4.6618335855382291</v>
      </c>
      <c r="U6" s="1022" t="s">
        <v>35</v>
      </c>
      <c r="V6" s="622">
        <f t="shared" si="3"/>
        <v>10.025345901641259</v>
      </c>
      <c r="W6" s="606"/>
    </row>
    <row r="7" spans="1:23" ht="13.75" customHeight="1">
      <c r="A7" s="606"/>
      <c r="B7" s="615">
        <v>7.8</v>
      </c>
      <c r="C7" s="616"/>
      <c r="D7" s="1149">
        <v>0.60416666666666663</v>
      </c>
      <c r="E7" s="1234">
        <v>10.611111111111111</v>
      </c>
      <c r="F7" s="1234">
        <v>6.2222222222222223</v>
      </c>
      <c r="G7" s="1234">
        <v>6.3888888888888893</v>
      </c>
      <c r="H7" s="1234">
        <v>5.3888888888888893</v>
      </c>
      <c r="I7" s="1234"/>
      <c r="J7" s="1234">
        <v>7.0555555555555554</v>
      </c>
      <c r="K7" s="1234">
        <v>8.7222222222222214</v>
      </c>
      <c r="L7" s="1234">
        <v>10.6</v>
      </c>
      <c r="M7" s="1252">
        <v>6.2</v>
      </c>
      <c r="N7" s="1234">
        <v>6.8</v>
      </c>
      <c r="O7" s="1234">
        <v>5.4</v>
      </c>
      <c r="P7" s="1234"/>
      <c r="Q7" s="1234">
        <v>4.5</v>
      </c>
      <c r="R7" s="620">
        <f t="shared" si="4"/>
        <v>7.0808080808080822</v>
      </c>
      <c r="S7" s="621">
        <f t="shared" si="5"/>
        <v>2.0484507298973624</v>
      </c>
      <c r="T7" s="620">
        <f t="shared" si="2"/>
        <v>3.7111066301269209</v>
      </c>
      <c r="U7" s="1022" t="s">
        <v>35</v>
      </c>
      <c r="V7" s="622">
        <f t="shared" si="3"/>
        <v>10.450509531489244</v>
      </c>
      <c r="W7" s="606"/>
    </row>
    <row r="8" spans="1:23" ht="13.75" customHeight="1">
      <c r="A8" s="606"/>
      <c r="B8" s="615">
        <v>5.5</v>
      </c>
      <c r="C8" s="616"/>
      <c r="D8" s="1149">
        <v>0.72916666666666663</v>
      </c>
      <c r="E8" s="1234">
        <v>6.9444444444444446</v>
      </c>
      <c r="F8" s="1234">
        <v>8.2777777777777786</v>
      </c>
      <c r="G8" s="1234">
        <v>7.0555555555555554</v>
      </c>
      <c r="H8" s="1234">
        <v>5</v>
      </c>
      <c r="I8" s="1234">
        <v>9.1666666666666661</v>
      </c>
      <c r="J8" s="1234">
        <v>6</v>
      </c>
      <c r="K8" s="1234">
        <v>9.1666666666666661</v>
      </c>
      <c r="L8" s="1234">
        <v>6.9</v>
      </c>
      <c r="M8" s="1252">
        <v>8.1999999999999993</v>
      </c>
      <c r="N8" s="1234">
        <v>6.4</v>
      </c>
      <c r="O8" s="1234">
        <v>5</v>
      </c>
      <c r="P8" s="1234">
        <v>9.1999999999999993</v>
      </c>
      <c r="Q8" s="1234">
        <v>4.9000000000000004</v>
      </c>
      <c r="R8" s="620">
        <f t="shared" si="4"/>
        <v>7.0931623931623937</v>
      </c>
      <c r="S8" s="621">
        <f t="shared" si="5"/>
        <v>1.6066255467148352</v>
      </c>
      <c r="T8" s="620">
        <f t="shared" si="2"/>
        <v>4.4502633688164899</v>
      </c>
      <c r="U8" s="1022" t="s">
        <v>35</v>
      </c>
      <c r="V8" s="622">
        <f t="shared" si="3"/>
        <v>9.7360614175082976</v>
      </c>
      <c r="W8" s="606"/>
    </row>
    <row r="9" spans="1:23" ht="13.75" customHeight="1">
      <c r="A9" s="606"/>
      <c r="B9" s="615">
        <v>7.8</v>
      </c>
      <c r="C9" s="616"/>
      <c r="D9" s="1149">
        <v>0.83333333333333337</v>
      </c>
      <c r="E9" s="1234">
        <v>7.7222222222222223</v>
      </c>
      <c r="F9" s="1234">
        <v>10.722222222222221</v>
      </c>
      <c r="G9" s="1234"/>
      <c r="H9" s="1234">
        <v>11.944444444444445</v>
      </c>
      <c r="I9" s="1234">
        <v>10.666666666666666</v>
      </c>
      <c r="J9" s="1234">
        <v>5.9444444444444446</v>
      </c>
      <c r="K9" s="1234">
        <v>10.722222222222221</v>
      </c>
      <c r="L9" s="1234">
        <v>7.7</v>
      </c>
      <c r="M9" s="1252">
        <v>10.7</v>
      </c>
      <c r="N9" s="1234">
        <v>7</v>
      </c>
      <c r="O9" s="1234">
        <v>11.9</v>
      </c>
      <c r="P9" s="1234">
        <v>10.8</v>
      </c>
      <c r="Q9" s="1234">
        <v>5.2</v>
      </c>
      <c r="R9" s="620">
        <f t="shared" si="4"/>
        <v>9.2518518518518515</v>
      </c>
      <c r="S9" s="621">
        <f t="shared" si="5"/>
        <v>2.3790298475089724</v>
      </c>
      <c r="T9" s="620">
        <f t="shared" si="2"/>
        <v>5.3383477526995922</v>
      </c>
      <c r="U9" s="1022" t="s">
        <v>35</v>
      </c>
      <c r="V9" s="622">
        <f t="shared" si="3"/>
        <v>13.165355951004111</v>
      </c>
      <c r="W9" s="606"/>
    </row>
    <row r="10" spans="1:23" ht="13.75" customHeight="1">
      <c r="A10" s="606"/>
      <c r="B10" s="615">
        <v>6.7</v>
      </c>
      <c r="C10" s="616"/>
      <c r="D10" s="1149">
        <v>0.95833333333333337</v>
      </c>
      <c r="E10" s="1234">
        <v>7.3888888888888893</v>
      </c>
      <c r="F10" s="1234">
        <v>9</v>
      </c>
      <c r="G10" s="1234">
        <v>7.5555555555555554</v>
      </c>
      <c r="H10" s="1234">
        <v>5.2777777777777777</v>
      </c>
      <c r="I10" s="1234">
        <v>9.7222222222222214</v>
      </c>
      <c r="J10" s="1234">
        <v>10</v>
      </c>
      <c r="K10" s="1234">
        <v>7.2222222222222223</v>
      </c>
      <c r="L10" s="1234">
        <v>7.4</v>
      </c>
      <c r="M10" s="1252">
        <v>9</v>
      </c>
      <c r="N10" s="1234">
        <v>7.6</v>
      </c>
      <c r="O10" s="1234">
        <v>5.3</v>
      </c>
      <c r="P10" s="1234">
        <v>9.6999999999999993</v>
      </c>
      <c r="Q10" s="1234"/>
      <c r="R10" s="620">
        <f>IF(COUNTIF(E10:Q10,"")&gt;10,B10,AVERAGE(E10:Q10))</f>
        <v>7.9305555555555545</v>
      </c>
      <c r="S10" s="621">
        <f t="shared" si="5"/>
        <v>1.600982617741999</v>
      </c>
      <c r="T10" s="620">
        <f t="shared" si="2"/>
        <v>5.2969391493699662</v>
      </c>
      <c r="U10" s="1022" t="s">
        <v>35</v>
      </c>
      <c r="V10" s="622">
        <f t="shared" si="3"/>
        <v>10.564171961741142</v>
      </c>
      <c r="W10" s="606"/>
    </row>
    <row r="11" spans="1:23" ht="13.75" customHeight="1">
      <c r="A11" s="606"/>
      <c r="B11" s="615">
        <v>4.7</v>
      </c>
      <c r="C11" s="616"/>
      <c r="D11" s="1149" t="s">
        <v>21</v>
      </c>
      <c r="E11" s="1234">
        <v>5.8888888888888893</v>
      </c>
      <c r="F11" s="1234">
        <v>5.666666666666667</v>
      </c>
      <c r="G11" s="1234">
        <v>6.5</v>
      </c>
      <c r="H11" s="1234">
        <v>6.5555555555555554</v>
      </c>
      <c r="I11" s="1234">
        <v>6.5</v>
      </c>
      <c r="J11" s="1234">
        <v>5.2777777777777777</v>
      </c>
      <c r="K11" s="1234">
        <v>5.5555555555555554</v>
      </c>
      <c r="L11" s="1234">
        <v>5.9</v>
      </c>
      <c r="M11" s="1252">
        <v>5.8</v>
      </c>
      <c r="N11" s="1234">
        <v>6.5</v>
      </c>
      <c r="O11" s="1234">
        <v>6.6</v>
      </c>
      <c r="P11" s="1234">
        <v>6.5</v>
      </c>
      <c r="Q11" s="1234"/>
      <c r="R11" s="620">
        <f>IF(COUNTIF(E11:Q11,"")&gt;10,B11,AVERAGE(E11:Q11))</f>
        <v>6.1037037037037036</v>
      </c>
      <c r="S11" s="621">
        <f t="shared" si="5"/>
        <v>0.47022055462969597</v>
      </c>
      <c r="T11" s="620">
        <f t="shared" si="2"/>
        <v>5.3301908913378533</v>
      </c>
      <c r="U11" s="1022" t="s">
        <v>35</v>
      </c>
      <c r="V11" s="622">
        <f t="shared" si="3"/>
        <v>6.877216516069554</v>
      </c>
      <c r="W11" s="606"/>
    </row>
    <row r="12" spans="1:23" ht="13.75" customHeight="1">
      <c r="A12" s="606"/>
      <c r="B12" s="615">
        <v>5.5</v>
      </c>
      <c r="C12" s="616"/>
      <c r="D12" s="1149" t="s">
        <v>86</v>
      </c>
      <c r="E12" s="1234">
        <v>6.166666666666667</v>
      </c>
      <c r="F12" s="1234">
        <v>6.1111111111111107</v>
      </c>
      <c r="G12" s="1234">
        <v>6</v>
      </c>
      <c r="H12" s="1234">
        <v>6.2222222222222223</v>
      </c>
      <c r="I12" s="1234">
        <v>6</v>
      </c>
      <c r="J12" s="1234">
        <v>6.2777777777777777</v>
      </c>
      <c r="K12" s="1234">
        <v>6.2222222222222223</v>
      </c>
      <c r="L12" s="1234"/>
      <c r="M12" s="1252"/>
      <c r="N12" s="1234">
        <v>6</v>
      </c>
      <c r="O12" s="1234">
        <v>6.2</v>
      </c>
      <c r="P12" s="1234"/>
      <c r="Q12" s="1234"/>
      <c r="R12" s="620">
        <f>IF(COUNTIF(E12:Q12,"")&gt;10,B12,AVERAGE(E12:Q12))</f>
        <v>6.1333333333333337</v>
      </c>
      <c r="S12" s="621">
        <f t="shared" si="5"/>
        <v>0.10957268290731126</v>
      </c>
      <c r="T12" s="620">
        <f t="shared" si="2"/>
        <v>5.9530862699508065</v>
      </c>
      <c r="U12" s="1022" t="s">
        <v>35</v>
      </c>
      <c r="V12" s="622">
        <f t="shared" si="3"/>
        <v>6.313580396715861</v>
      </c>
      <c r="W12" s="606"/>
    </row>
    <row r="13" spans="1:23" ht="13.75" customHeight="1">
      <c r="A13" s="606"/>
      <c r="B13" s="155"/>
      <c r="C13" s="155"/>
      <c r="D13" s="156" t="s">
        <v>8</v>
      </c>
      <c r="E13" s="624">
        <f>V19</f>
        <v>41274</v>
      </c>
      <c r="F13" s="624">
        <f t="shared" ref="F13:Q13" si="6">E13+$V20</f>
        <v>41281</v>
      </c>
      <c r="G13" s="624">
        <f t="shared" si="6"/>
        <v>41288</v>
      </c>
      <c r="H13" s="624">
        <f t="shared" si="6"/>
        <v>41295</v>
      </c>
      <c r="I13" s="1107">
        <f t="shared" si="6"/>
        <v>41302</v>
      </c>
      <c r="J13" s="625">
        <f t="shared" si="6"/>
        <v>41309</v>
      </c>
      <c r="K13" s="624">
        <f t="shared" si="6"/>
        <v>41316</v>
      </c>
      <c r="L13" s="624">
        <f t="shared" si="6"/>
        <v>41323</v>
      </c>
      <c r="M13" s="624">
        <f t="shared" si="6"/>
        <v>41330</v>
      </c>
      <c r="N13" s="624">
        <f t="shared" si="6"/>
        <v>41337</v>
      </c>
      <c r="O13" s="625">
        <f t="shared" si="6"/>
        <v>41344</v>
      </c>
      <c r="P13" s="624">
        <f t="shared" si="6"/>
        <v>41351</v>
      </c>
      <c r="Q13" s="624">
        <f t="shared" si="6"/>
        <v>41358</v>
      </c>
      <c r="R13" s="626"/>
      <c r="S13" s="627">
        <f>(AVERAGE('(intern)'!B4:N12)+(86/18)/33.3)</f>
        <v>7.5561601487527374</v>
      </c>
      <c r="T13" s="628" t="s">
        <v>33</v>
      </c>
      <c r="U13" s="629"/>
      <c r="V13" s="630"/>
      <c r="W13" s="606"/>
    </row>
    <row r="14" spans="1:23" ht="13.75" customHeight="1">
      <c r="A14" s="606"/>
      <c r="B14" s="631"/>
      <c r="C14" s="155"/>
      <c r="D14" s="632" t="s">
        <v>9</v>
      </c>
      <c r="E14" s="633">
        <f>IF(MIN(E4:E12)=0,"-",MIN(E4:E12))</f>
        <v>4.7777777777777777</v>
      </c>
      <c r="F14" s="633">
        <f t="shared" ref="F14:Q14" si="7">IF(MIN(F4:F12)=0,"-",MIN(F4:F12))</f>
        <v>5.666666666666667</v>
      </c>
      <c r="G14" s="633">
        <f t="shared" si="7"/>
        <v>6</v>
      </c>
      <c r="H14" s="633">
        <f t="shared" si="7"/>
        <v>5</v>
      </c>
      <c r="I14" s="633">
        <f t="shared" si="7"/>
        <v>6</v>
      </c>
      <c r="J14" s="634">
        <f t="shared" si="7"/>
        <v>5.2777777777777777</v>
      </c>
      <c r="K14" s="633">
        <f t="shared" si="7"/>
        <v>5.5555555555555554</v>
      </c>
      <c r="L14" s="633">
        <f t="shared" si="7"/>
        <v>4.8</v>
      </c>
      <c r="M14" s="633">
        <f t="shared" si="7"/>
        <v>5.8</v>
      </c>
      <c r="N14" s="633">
        <f t="shared" si="7"/>
        <v>6</v>
      </c>
      <c r="O14" s="634">
        <f t="shared" si="7"/>
        <v>5</v>
      </c>
      <c r="P14" s="633">
        <f t="shared" si="7"/>
        <v>6</v>
      </c>
      <c r="Q14" s="633">
        <f t="shared" si="7"/>
        <v>4.5</v>
      </c>
      <c r="R14" s="635" t="s">
        <v>17</v>
      </c>
      <c r="S14" s="636">
        <f>(AVERAGE('(intern)'!B4:F12)+(86/18)/33.3)</f>
        <v>7.6274274274274285</v>
      </c>
      <c r="T14" s="637" t="s">
        <v>19</v>
      </c>
      <c r="U14" s="638" t="s">
        <v>20</v>
      </c>
      <c r="V14" s="639"/>
      <c r="W14" s="606"/>
    </row>
    <row r="15" spans="1:23" ht="13.75" customHeight="1">
      <c r="A15" s="606"/>
      <c r="B15" s="155"/>
      <c r="C15" s="155"/>
      <c r="D15" s="640" t="s">
        <v>23</v>
      </c>
      <c r="E15" s="633">
        <f>IF(MAX(E4:E12)=0,"-",MAX(E4:E12))</f>
        <v>10.611111111111111</v>
      </c>
      <c r="F15" s="633">
        <f t="shared" ref="F15:Q15" si="8">IF(MAX(F4:F12)=0,"-",MAX(F4:F12))</f>
        <v>10.722222222222221</v>
      </c>
      <c r="G15" s="633">
        <f t="shared" si="8"/>
        <v>10.388888888888889</v>
      </c>
      <c r="H15" s="633">
        <f t="shared" si="8"/>
        <v>11.944444444444445</v>
      </c>
      <c r="I15" s="633">
        <f t="shared" si="8"/>
        <v>10.666666666666666</v>
      </c>
      <c r="J15" s="634">
        <f t="shared" si="8"/>
        <v>12.111111111111111</v>
      </c>
      <c r="K15" s="633">
        <f t="shared" si="8"/>
        <v>10.722222222222221</v>
      </c>
      <c r="L15" s="633">
        <f t="shared" si="8"/>
        <v>10.6</v>
      </c>
      <c r="M15" s="633">
        <f t="shared" si="8"/>
        <v>10.7</v>
      </c>
      <c r="N15" s="633">
        <f t="shared" si="8"/>
        <v>10.3</v>
      </c>
      <c r="O15" s="634">
        <f t="shared" si="8"/>
        <v>11.9</v>
      </c>
      <c r="P15" s="633">
        <f t="shared" si="8"/>
        <v>10.8</v>
      </c>
      <c r="Q15" s="633">
        <f t="shared" si="8"/>
        <v>9.6</v>
      </c>
      <c r="R15" s="628"/>
      <c r="S15" s="641">
        <f>(AVERAGE('(intern)'!F4:J12)+(86/18)/33.3)</f>
        <v>7.7617484150817466</v>
      </c>
      <c r="T15" s="642" t="s">
        <v>19</v>
      </c>
      <c r="U15" s="629"/>
      <c r="V15" s="155"/>
      <c r="W15" s="606"/>
    </row>
    <row r="16" spans="1:23" ht="13.75" customHeight="1">
      <c r="A16" s="606"/>
      <c r="B16" s="155"/>
      <c r="C16" s="155"/>
      <c r="D16" s="643" t="s">
        <v>24</v>
      </c>
      <c r="E16" s="644">
        <f>IF(E15="-",AVERAGE(B4:B12),AVERAGE(E4:E12))</f>
        <v>7.0987654320987641</v>
      </c>
      <c r="F16" s="644">
        <f t="shared" ref="F16:Q16" si="9">IF(F15="-",E16,AVERAGE(F4:F12))</f>
        <v>7.5493827160493829</v>
      </c>
      <c r="G16" s="644">
        <f t="shared" si="9"/>
        <v>7.0833333333333339</v>
      </c>
      <c r="H16" s="644">
        <f t="shared" si="9"/>
        <v>7.30246913580247</v>
      </c>
      <c r="I16" s="644">
        <f t="shared" si="9"/>
        <v>8.4166666666666661</v>
      </c>
      <c r="J16" s="645">
        <f t="shared" si="9"/>
        <v>7.4444444444444446</v>
      </c>
      <c r="K16" s="644">
        <f t="shared" si="9"/>
        <v>7.833333333333333</v>
      </c>
      <c r="L16" s="644">
        <f t="shared" si="9"/>
        <v>7.2124999999999995</v>
      </c>
      <c r="M16" s="644">
        <f t="shared" si="9"/>
        <v>7.7374999999999989</v>
      </c>
      <c r="N16" s="644">
        <f t="shared" si="9"/>
        <v>7.0750000000000002</v>
      </c>
      <c r="O16" s="645">
        <f t="shared" si="9"/>
        <v>7.2333333333333325</v>
      </c>
      <c r="P16" s="644">
        <f t="shared" si="9"/>
        <v>8.7714285714285722</v>
      </c>
      <c r="Q16" s="644">
        <f t="shared" si="9"/>
        <v>6.0666666666666673</v>
      </c>
      <c r="R16" s="984">
        <f>AVERAGE(E16:Q16)</f>
        <v>7.4480633563966894</v>
      </c>
      <c r="S16" s="646">
        <f>(AVERAGE('(intern)'!J4:N12)+(86/18)/33.3)</f>
        <v>7.4576880584287997</v>
      </c>
      <c r="T16" s="647" t="s">
        <v>19</v>
      </c>
      <c r="U16" s="629"/>
      <c r="V16" s="155"/>
      <c r="W16" s="606"/>
    </row>
    <row r="17" spans="1:25" ht="13.75" customHeight="1" thickBot="1">
      <c r="A17" s="606"/>
      <c r="B17" s="155"/>
      <c r="C17" s="155"/>
      <c r="D17" s="648"/>
      <c r="E17" s="971">
        <f t="shared" ref="E17:Q17" si="10">WEEKDAY(E13)</f>
        <v>1</v>
      </c>
      <c r="F17" s="971">
        <f t="shared" si="10"/>
        <v>1</v>
      </c>
      <c r="G17" s="971">
        <f t="shared" si="10"/>
        <v>1</v>
      </c>
      <c r="H17" s="971">
        <f t="shared" si="10"/>
        <v>1</v>
      </c>
      <c r="I17" s="971">
        <f t="shared" si="10"/>
        <v>1</v>
      </c>
      <c r="J17" s="972">
        <f t="shared" si="10"/>
        <v>1</v>
      </c>
      <c r="K17" s="972">
        <f t="shared" si="10"/>
        <v>1</v>
      </c>
      <c r="L17" s="971">
        <f t="shared" si="10"/>
        <v>1</v>
      </c>
      <c r="M17" s="971">
        <f t="shared" si="10"/>
        <v>1</v>
      </c>
      <c r="N17" s="971">
        <f t="shared" si="10"/>
        <v>1</v>
      </c>
      <c r="O17" s="971">
        <f t="shared" si="10"/>
        <v>1</v>
      </c>
      <c r="P17" s="971">
        <f t="shared" si="10"/>
        <v>1</v>
      </c>
      <c r="Q17" s="971">
        <f t="shared" si="10"/>
        <v>1</v>
      </c>
      <c r="R17" s="154"/>
      <c r="S17" s="649"/>
      <c r="T17" s="650"/>
      <c r="U17" s="629"/>
      <c r="V17" s="155"/>
      <c r="W17" s="606"/>
    </row>
    <row r="18" spans="1:25" ht="28" customHeight="1">
      <c r="A18" s="606"/>
      <c r="B18" s="1369" t="s">
        <v>84</v>
      </c>
      <c r="C18" s="1370"/>
      <c r="D18" s="570" t="s">
        <v>92</v>
      </c>
      <c r="E18" s="571" t="s">
        <v>167</v>
      </c>
      <c r="F18" s="571" t="s">
        <v>167</v>
      </c>
      <c r="G18" s="571" t="s">
        <v>167</v>
      </c>
      <c r="H18" s="571" t="s">
        <v>167</v>
      </c>
      <c r="I18" s="571" t="s">
        <v>167</v>
      </c>
      <c r="J18" s="571" t="s">
        <v>167</v>
      </c>
      <c r="K18" s="571" t="s">
        <v>167</v>
      </c>
      <c r="L18" s="571" t="s">
        <v>167</v>
      </c>
      <c r="M18" s="571" t="s">
        <v>167</v>
      </c>
      <c r="N18" s="571" t="s">
        <v>167</v>
      </c>
      <c r="O18" s="571" t="s">
        <v>167</v>
      </c>
      <c r="P18" s="571" t="s">
        <v>167</v>
      </c>
      <c r="Q18" s="571" t="s">
        <v>167</v>
      </c>
      <c r="R18" s="1322" t="s">
        <v>29</v>
      </c>
      <c r="S18" s="1323"/>
      <c r="T18" s="1383" t="s">
        <v>43</v>
      </c>
      <c r="U18" s="1384"/>
      <c r="V18" s="1587">
        <v>1</v>
      </c>
      <c r="W18" s="606"/>
      <c r="Y18" s="1027"/>
    </row>
    <row r="19" spans="1:25" ht="28" customHeight="1">
      <c r="A19" s="606"/>
      <c r="B19" s="158"/>
      <c r="C19" s="158"/>
      <c r="D19" s="572" t="s">
        <v>42</v>
      </c>
      <c r="E19" s="966" t="s">
        <v>168</v>
      </c>
      <c r="F19" s="966" t="s">
        <v>168</v>
      </c>
      <c r="G19" s="966" t="s">
        <v>168</v>
      </c>
      <c r="H19" s="966" t="s">
        <v>168</v>
      </c>
      <c r="I19" s="966" t="s">
        <v>168</v>
      </c>
      <c r="J19" s="1120" t="s">
        <v>168</v>
      </c>
      <c r="K19" s="966" t="s">
        <v>168</v>
      </c>
      <c r="L19" s="966" t="s">
        <v>168</v>
      </c>
      <c r="M19" s="966" t="s">
        <v>168</v>
      </c>
      <c r="N19" s="966" t="s">
        <v>168</v>
      </c>
      <c r="O19" s="966" t="s">
        <v>168</v>
      </c>
      <c r="P19" s="966" t="s">
        <v>168</v>
      </c>
      <c r="Q19" s="966" t="s">
        <v>168</v>
      </c>
      <c r="R19" s="1324"/>
      <c r="S19" s="1325"/>
      <c r="T19" s="1387" t="s">
        <v>85</v>
      </c>
      <c r="U19" s="1337"/>
      <c r="V19" s="132">
        <v>41274</v>
      </c>
      <c r="W19" s="606"/>
    </row>
    <row r="20" spans="1:25" ht="28" customHeight="1" thickBot="1">
      <c r="A20" s="606"/>
      <c r="B20" s="158"/>
      <c r="C20" s="158"/>
      <c r="D20" s="189" t="s">
        <v>88</v>
      </c>
      <c r="E20" s="1024"/>
      <c r="F20" s="1111"/>
      <c r="G20" s="1024"/>
      <c r="H20" s="1108"/>
      <c r="I20" s="1109"/>
      <c r="J20" s="1121"/>
      <c r="K20" s="1025"/>
      <c r="L20" s="1025"/>
      <c r="M20" s="1025"/>
      <c r="N20" s="1026"/>
      <c r="O20" s="1026"/>
      <c r="P20" s="1026"/>
      <c r="Q20" s="1026"/>
      <c r="R20" s="1326"/>
      <c r="S20" s="1327"/>
      <c r="T20" s="1388" t="s">
        <v>27</v>
      </c>
      <c r="U20" s="1338"/>
      <c r="V20" s="580">
        <v>7</v>
      </c>
      <c r="W20" s="606"/>
    </row>
    <row r="21" spans="1:25" ht="28" customHeight="1" thickBot="1">
      <c r="A21" s="606"/>
      <c r="B21" s="158"/>
      <c r="C21" s="158"/>
      <c r="D21" s="189" t="s">
        <v>89</v>
      </c>
      <c r="E21" s="990"/>
      <c r="F21" s="990"/>
      <c r="G21" s="990"/>
      <c r="H21" s="577"/>
      <c r="I21" s="565"/>
      <c r="J21" s="990"/>
      <c r="K21" s="1023"/>
      <c r="L21" s="1029"/>
      <c r="M21" s="1029"/>
      <c r="N21" s="1112"/>
      <c r="O21" s="940"/>
      <c r="P21" s="564"/>
      <c r="Q21" s="941"/>
      <c r="R21" s="154"/>
      <c r="S21" s="155"/>
      <c r="T21" s="155"/>
      <c r="U21" s="156"/>
      <c r="V21" s="157"/>
      <c r="W21" s="606"/>
    </row>
    <row r="22" spans="1:25" ht="28" customHeight="1">
      <c r="A22" s="606"/>
      <c r="B22" s="158"/>
      <c r="C22" s="158"/>
      <c r="D22" s="189" t="s">
        <v>90</v>
      </c>
      <c r="E22" s="562"/>
      <c r="F22" s="1113"/>
      <c r="G22" s="962"/>
      <c r="H22" s="559"/>
      <c r="I22" s="1110"/>
      <c r="J22" s="1013"/>
      <c r="K22" s="1114"/>
      <c r="L22" s="946"/>
      <c r="M22" s="942"/>
      <c r="N22" s="943"/>
      <c r="O22" s="943"/>
      <c r="P22" s="1115"/>
      <c r="Q22" s="1115"/>
      <c r="R22" s="154"/>
      <c r="S22" s="156" t="s">
        <v>169</v>
      </c>
      <c r="T22" s="1334" t="s">
        <v>59</v>
      </c>
      <c r="U22" s="1335"/>
      <c r="V22" s="1588">
        <v>7.2</v>
      </c>
      <c r="W22" s="606"/>
    </row>
    <row r="23" spans="1:25" ht="28" customHeight="1">
      <c r="A23" s="606"/>
      <c r="B23" s="158"/>
      <c r="C23" s="158"/>
      <c r="D23" s="190" t="s">
        <v>91</v>
      </c>
      <c r="E23" s="525"/>
      <c r="F23" s="566"/>
      <c r="G23" s="566"/>
      <c r="H23" s="558"/>
      <c r="I23" s="945"/>
      <c r="J23" s="1012"/>
      <c r="K23" s="1116"/>
      <c r="L23" s="1116"/>
      <c r="M23" s="1070"/>
      <c r="N23" s="944"/>
      <c r="O23" s="558"/>
      <c r="P23" s="566"/>
      <c r="Q23" s="944"/>
      <c r="R23" s="154"/>
      <c r="S23" s="156"/>
      <c r="T23" s="1341" t="s">
        <v>47</v>
      </c>
      <c r="U23" s="1342"/>
      <c r="V23" s="1279">
        <v>7.2</v>
      </c>
      <c r="W23" s="606"/>
    </row>
    <row r="24" spans="1:25">
      <c r="A24" s="606"/>
      <c r="B24" s="606"/>
      <c r="C24" s="606"/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7"/>
      <c r="V24" s="606"/>
      <c r="W24" s="606"/>
    </row>
    <row r="25" spans="1:25">
      <c r="A25" s="606"/>
      <c r="B25" s="606"/>
      <c r="C25" s="606"/>
      <c r="D25" s="651" t="s">
        <v>28</v>
      </c>
      <c r="E25" s="652">
        <f>WEEKNUM(E36,1)</f>
        <v>14</v>
      </c>
      <c r="F25" s="652">
        <f>WEEKNUM(F36,1)</f>
        <v>15</v>
      </c>
      <c r="G25" s="653">
        <f t="shared" ref="G25:Q25" si="11">WEEKNUM(G36,1)</f>
        <v>16</v>
      </c>
      <c r="H25" s="652">
        <f>WEEKNUM(H36,1)</f>
        <v>17</v>
      </c>
      <c r="I25" s="654">
        <f t="shared" si="11"/>
        <v>18</v>
      </c>
      <c r="J25" s="652">
        <f t="shared" si="11"/>
        <v>19</v>
      </c>
      <c r="K25" s="652">
        <f t="shared" si="11"/>
        <v>20</v>
      </c>
      <c r="L25" s="652">
        <f>WEEKNUM(L36,1)</f>
        <v>21</v>
      </c>
      <c r="M25" s="654">
        <f t="shared" si="11"/>
        <v>22</v>
      </c>
      <c r="N25" s="652">
        <f t="shared" si="11"/>
        <v>23</v>
      </c>
      <c r="O25" s="652">
        <f t="shared" si="11"/>
        <v>24</v>
      </c>
      <c r="P25" s="652">
        <f t="shared" si="11"/>
        <v>25</v>
      </c>
      <c r="Q25" s="652">
        <f t="shared" si="11"/>
        <v>26</v>
      </c>
      <c r="R25" s="606"/>
      <c r="S25" s="606"/>
      <c r="T25" s="606"/>
      <c r="U25" s="607"/>
      <c r="V25" s="606"/>
      <c r="W25" s="606"/>
    </row>
    <row r="26" spans="1:25" ht="13.75" customHeight="1">
      <c r="A26" s="606"/>
      <c r="B26" s="150"/>
      <c r="C26" s="150"/>
      <c r="D26" s="655" t="str">
        <f t="shared" ref="D26:D39" si="12">D3</f>
        <v>Glucose [mg/dl]</v>
      </c>
      <c r="E26" s="947" t="str">
        <f>IF(E40=2,"MO",IF(E40=3,"DI",IF(E40=4,"MI",IF(E40=5,"DO",IF(E40=6,"FR",IF(E40=7,"SA","SO"))))))</f>
        <v>SO</v>
      </c>
      <c r="F26" s="652" t="str">
        <f t="shared" ref="F26:Q26" si="13">IF(F40=2,"MO",IF(F40=3,"DI",IF(F40=4,"MI",IF(F40=5,"DO",IF(F40=6,"FR",IF(F40=7,"SA","SO"))))))</f>
        <v>SO</v>
      </c>
      <c r="G26" s="653" t="str">
        <f>IF(G40=2,"MO",IF(G40=3,"DI",IF(G40=4,"MI",IF(G40=5,"DO",IF(G40=6,"FR",IF(G40=7,"SA","SO"))))))</f>
        <v>SO</v>
      </c>
      <c r="H26" s="652" t="str">
        <f>IF(H40=2,"MO",IF(H40=3,"DI",IF(H40=4,"MI",IF(H40=5,"DO",IF(H40=6,"FR",IF(H40=7,"SA","SO"))))))</f>
        <v>SO</v>
      </c>
      <c r="I26" s="654" t="str">
        <f t="shared" si="13"/>
        <v>SO</v>
      </c>
      <c r="J26" s="652" t="str">
        <f t="shared" si="13"/>
        <v>SO</v>
      </c>
      <c r="K26" s="652" t="str">
        <f t="shared" si="13"/>
        <v>SO</v>
      </c>
      <c r="L26" s="652" t="str">
        <f>IF(L40=2,"MO",IF(L40=3,"DI",IF(L40=4,"MI",IF(L40=5,"DO",IF(L40=6,"FR",IF(L40=7,"SA","SO"))))))</f>
        <v>SO</v>
      </c>
      <c r="M26" s="654" t="str">
        <f t="shared" si="13"/>
        <v>SO</v>
      </c>
      <c r="N26" s="652" t="str">
        <f t="shared" si="13"/>
        <v>SO</v>
      </c>
      <c r="O26" s="652" t="str">
        <f t="shared" si="13"/>
        <v>SO</v>
      </c>
      <c r="P26" s="652" t="str">
        <f t="shared" si="13"/>
        <v>SO</v>
      </c>
      <c r="Q26" s="652" t="str">
        <f t="shared" si="13"/>
        <v>SO</v>
      </c>
      <c r="R26" s="656" t="s">
        <v>51</v>
      </c>
      <c r="S26" s="657" t="s">
        <v>22</v>
      </c>
      <c r="T26" s="1385" t="str">
        <f>CONCATENATE("±",V26,"σ")</f>
        <v>±1,645σ</v>
      </c>
      <c r="U26" s="1386"/>
      <c r="V26" s="614">
        <f>V3</f>
        <v>1.645</v>
      </c>
      <c r="W26" s="606"/>
    </row>
    <row r="27" spans="1:25" ht="13.75" customHeight="1">
      <c r="A27" s="606"/>
      <c r="B27" s="150"/>
      <c r="C27" s="150"/>
      <c r="D27" s="655">
        <f>D4</f>
        <v>0.29166666666666669</v>
      </c>
      <c r="E27" s="1234">
        <v>6.2</v>
      </c>
      <c r="F27" s="1234">
        <v>5.9</v>
      </c>
      <c r="G27" s="1234"/>
      <c r="H27" s="1234"/>
      <c r="I27" s="1253"/>
      <c r="J27" s="1234"/>
      <c r="K27" s="1234"/>
      <c r="L27" s="1234"/>
      <c r="M27" s="1234"/>
      <c r="N27" s="1234"/>
      <c r="O27" s="1234"/>
      <c r="P27" s="1234"/>
      <c r="Q27" s="1234"/>
      <c r="R27" s="658">
        <f t="shared" ref="R27:R35" si="14">IF(COUNTIF(E27:Q27,"")&gt;10,R4,AVERAGE(E27:Q27))</f>
        <v>6.1307692307692312</v>
      </c>
      <c r="S27" s="659">
        <f>IF(COUNTIF(E27:Q27,"")&gt;10,S4,STDEV(E27:Q27))</f>
        <v>0.10154707053396356</v>
      </c>
      <c r="T27" s="658">
        <f>R27-$V$26*S27</f>
        <v>5.9637242997408615</v>
      </c>
      <c r="U27" s="660" t="s">
        <v>35</v>
      </c>
      <c r="V27" s="661">
        <f>R27+$V$26*S27</f>
        <v>6.2978141617976009</v>
      </c>
      <c r="W27" s="662"/>
    </row>
    <row r="28" spans="1:25" ht="13.75" customHeight="1">
      <c r="A28" s="606"/>
      <c r="B28" s="150"/>
      <c r="C28" s="150"/>
      <c r="D28" s="655">
        <f t="shared" si="12"/>
        <v>0.39583333333333331</v>
      </c>
      <c r="E28" s="1234"/>
      <c r="F28" s="1234">
        <v>9.4</v>
      </c>
      <c r="G28" s="1234"/>
      <c r="H28" s="1234"/>
      <c r="I28" s="1253"/>
      <c r="J28" s="1234"/>
      <c r="K28" s="1234"/>
      <c r="L28" s="1234"/>
      <c r="M28" s="1234"/>
      <c r="N28" s="1234"/>
      <c r="O28" s="1234"/>
      <c r="P28" s="1234"/>
      <c r="Q28" s="1234"/>
      <c r="R28" s="658">
        <f t="shared" si="14"/>
        <v>9.8546296296296294</v>
      </c>
      <c r="S28" s="659">
        <f t="shared" ref="S28:S35" si="15">IF(COUNTIF(E28:Q28,"")&gt;10,S5,STDEV(E28:Q28))</f>
        <v>1.1032597179438779</v>
      </c>
      <c r="T28" s="658">
        <f t="shared" ref="T28:T35" si="16">R28-$V$26*S28</f>
        <v>8.0397673936119496</v>
      </c>
      <c r="U28" s="660" t="s">
        <v>35</v>
      </c>
      <c r="V28" s="661">
        <f t="shared" ref="V28:V35" si="17">R28+$V$26*S28</f>
        <v>11.669491865647309</v>
      </c>
      <c r="W28" s="662"/>
      <c r="X28" s="663"/>
      <c r="Y28" s="663"/>
    </row>
    <row r="29" spans="1:25" ht="13.75" customHeight="1">
      <c r="A29" s="606"/>
      <c r="B29" s="150"/>
      <c r="C29" s="150"/>
      <c r="D29" s="655">
        <f t="shared" si="12"/>
        <v>0.5</v>
      </c>
      <c r="E29" s="1234"/>
      <c r="F29" s="1234">
        <v>7.4</v>
      </c>
      <c r="G29" s="1234"/>
      <c r="H29" s="1234"/>
      <c r="I29" s="1253"/>
      <c r="J29" s="1234"/>
      <c r="K29" s="1234"/>
      <c r="L29" s="1234"/>
      <c r="M29" s="1234"/>
      <c r="N29" s="1234"/>
      <c r="O29" s="1234"/>
      <c r="P29" s="1234"/>
      <c r="Q29" s="1234"/>
      <c r="R29" s="658">
        <f t="shared" si="14"/>
        <v>7.3435897435897441</v>
      </c>
      <c r="S29" s="659">
        <f t="shared" si="15"/>
        <v>1.630246904590587</v>
      </c>
      <c r="T29" s="658">
        <f t="shared" si="16"/>
        <v>4.6618335855382291</v>
      </c>
      <c r="U29" s="660" t="s">
        <v>35</v>
      </c>
      <c r="V29" s="661">
        <f t="shared" si="17"/>
        <v>10.025345901641259</v>
      </c>
      <c r="W29" s="662"/>
      <c r="X29" s="663"/>
      <c r="Y29" s="663"/>
    </row>
    <row r="30" spans="1:25" ht="13.75" customHeight="1">
      <c r="A30" s="606"/>
      <c r="B30" s="150"/>
      <c r="C30" s="150"/>
      <c r="D30" s="655">
        <f t="shared" si="12"/>
        <v>0.60416666666666663</v>
      </c>
      <c r="E30" s="1234"/>
      <c r="F30" s="1234">
        <v>6</v>
      </c>
      <c r="G30" s="1234"/>
      <c r="H30" s="1234"/>
      <c r="I30" s="1253"/>
      <c r="J30" s="1234"/>
      <c r="K30" s="1234"/>
      <c r="L30" s="1234"/>
      <c r="M30" s="1234"/>
      <c r="N30" s="1234"/>
      <c r="O30" s="1234"/>
      <c r="P30" s="1234"/>
      <c r="Q30" s="1234"/>
      <c r="R30" s="658">
        <f t="shared" si="14"/>
        <v>7.0808080808080822</v>
      </c>
      <c r="S30" s="659">
        <f t="shared" si="15"/>
        <v>2.0484507298973624</v>
      </c>
      <c r="T30" s="658">
        <f t="shared" si="16"/>
        <v>3.7111066301269209</v>
      </c>
      <c r="U30" s="660" t="s">
        <v>35</v>
      </c>
      <c r="V30" s="661">
        <f t="shared" si="17"/>
        <v>10.450509531489244</v>
      </c>
      <c r="W30" s="662"/>
      <c r="X30" s="663"/>
      <c r="Y30" s="663"/>
    </row>
    <row r="31" spans="1:25" ht="13.75" customHeight="1">
      <c r="A31" s="606"/>
      <c r="B31" s="150"/>
      <c r="C31" s="150"/>
      <c r="D31" s="655">
        <f t="shared" si="12"/>
        <v>0.72916666666666663</v>
      </c>
      <c r="E31" s="1234">
        <v>6.8</v>
      </c>
      <c r="F31" s="1234">
        <v>8.1999999999999993</v>
      </c>
      <c r="G31" s="1234"/>
      <c r="H31" s="1234"/>
      <c r="I31" s="1253"/>
      <c r="J31" s="1234"/>
      <c r="K31" s="1234"/>
      <c r="L31" s="1234"/>
      <c r="M31" s="1234"/>
      <c r="N31" s="1234"/>
      <c r="O31" s="1234"/>
      <c r="P31" s="1234"/>
      <c r="Q31" s="1234"/>
      <c r="R31" s="658">
        <f t="shared" si="14"/>
        <v>7.0931623931623937</v>
      </c>
      <c r="S31" s="659">
        <f t="shared" si="15"/>
        <v>1.6066255467148352</v>
      </c>
      <c r="T31" s="658">
        <f t="shared" si="16"/>
        <v>4.4502633688164899</v>
      </c>
      <c r="U31" s="660" t="s">
        <v>35</v>
      </c>
      <c r="V31" s="661">
        <f t="shared" si="17"/>
        <v>9.7360614175082976</v>
      </c>
      <c r="W31" s="662"/>
      <c r="X31" s="663"/>
      <c r="Y31" s="663"/>
    </row>
    <row r="32" spans="1:25" ht="13.75" customHeight="1">
      <c r="A32" s="606"/>
      <c r="B32" s="150"/>
      <c r="C32" s="150"/>
      <c r="D32" s="655">
        <f t="shared" si="12"/>
        <v>0.83333333333333337</v>
      </c>
      <c r="E32" s="1234">
        <v>5.2</v>
      </c>
      <c r="F32" s="1234">
        <v>8.6999999999999993</v>
      </c>
      <c r="G32" s="1234"/>
      <c r="H32" s="1234"/>
      <c r="I32" s="1253"/>
      <c r="J32" s="1234"/>
      <c r="K32" s="1234"/>
      <c r="L32" s="1234"/>
      <c r="M32" s="1234"/>
      <c r="N32" s="1234"/>
      <c r="O32" s="1234"/>
      <c r="P32" s="1234"/>
      <c r="Q32" s="1234"/>
      <c r="R32" s="658">
        <f t="shared" si="14"/>
        <v>9.2518518518518515</v>
      </c>
      <c r="S32" s="659">
        <f t="shared" si="15"/>
        <v>2.3790298475089724</v>
      </c>
      <c r="T32" s="658">
        <f t="shared" si="16"/>
        <v>5.3383477526995922</v>
      </c>
      <c r="U32" s="660" t="s">
        <v>35</v>
      </c>
      <c r="V32" s="661">
        <f t="shared" si="17"/>
        <v>13.165355951004111</v>
      </c>
      <c r="W32" s="662"/>
      <c r="X32" s="663"/>
      <c r="Y32" s="663"/>
    </row>
    <row r="33" spans="1:30" ht="13.75" customHeight="1">
      <c r="A33" s="606"/>
      <c r="B33" s="150"/>
      <c r="C33" s="150"/>
      <c r="D33" s="655">
        <f t="shared" si="12"/>
        <v>0.95833333333333337</v>
      </c>
      <c r="E33" s="1234">
        <v>5.3</v>
      </c>
      <c r="F33" s="1234">
        <v>7.9</v>
      </c>
      <c r="G33" s="1234"/>
      <c r="H33" s="1234"/>
      <c r="I33" s="1253"/>
      <c r="J33" s="1234"/>
      <c r="K33" s="1234"/>
      <c r="L33" s="1234"/>
      <c r="M33" s="1234"/>
      <c r="N33" s="1234"/>
      <c r="O33" s="1234"/>
      <c r="P33" s="1234"/>
      <c r="Q33" s="1234"/>
      <c r="R33" s="658">
        <f t="shared" si="14"/>
        <v>7.9305555555555545</v>
      </c>
      <c r="S33" s="659">
        <f t="shared" si="15"/>
        <v>1.600982617741999</v>
      </c>
      <c r="T33" s="658">
        <f t="shared" si="16"/>
        <v>5.2969391493699662</v>
      </c>
      <c r="U33" s="660" t="s">
        <v>35</v>
      </c>
      <c r="V33" s="661">
        <f t="shared" si="17"/>
        <v>10.564171961741142</v>
      </c>
      <c r="W33" s="662"/>
      <c r="X33" s="663"/>
      <c r="Y33" s="663"/>
    </row>
    <row r="34" spans="1:30" ht="13.75" customHeight="1">
      <c r="A34" s="606"/>
      <c r="B34" s="150"/>
      <c r="C34" s="150"/>
      <c r="D34" s="655" t="str">
        <f t="shared" si="12"/>
        <v>Nacht</v>
      </c>
      <c r="E34" s="1234">
        <v>5.8</v>
      </c>
      <c r="F34" s="1234">
        <v>6.1</v>
      </c>
      <c r="G34" s="1234"/>
      <c r="H34" s="1234"/>
      <c r="I34" s="1253"/>
      <c r="J34" s="1234"/>
      <c r="K34" s="1234"/>
      <c r="L34" s="1234"/>
      <c r="M34" s="1234"/>
      <c r="N34" s="1234"/>
      <c r="O34" s="1234"/>
      <c r="P34" s="1234"/>
      <c r="Q34" s="1234"/>
      <c r="R34" s="658">
        <f t="shared" si="14"/>
        <v>6.1037037037037036</v>
      </c>
      <c r="S34" s="659">
        <f t="shared" si="15"/>
        <v>0.47022055462969597</v>
      </c>
      <c r="T34" s="658">
        <f t="shared" si="16"/>
        <v>5.3301908913378533</v>
      </c>
      <c r="U34" s="660" t="s">
        <v>35</v>
      </c>
      <c r="V34" s="661">
        <f t="shared" si="17"/>
        <v>6.877216516069554</v>
      </c>
      <c r="W34" s="662"/>
      <c r="X34" s="663"/>
      <c r="Y34" s="663"/>
    </row>
    <row r="35" spans="1:30" ht="13.75" customHeight="1">
      <c r="A35" s="606"/>
      <c r="B35" s="150"/>
      <c r="C35" s="150"/>
      <c r="D35" s="655" t="str">
        <f t="shared" si="12"/>
        <v>Früh</v>
      </c>
      <c r="E35" s="1234">
        <v>6.2</v>
      </c>
      <c r="F35" s="1234">
        <v>6.3</v>
      </c>
      <c r="G35" s="1234"/>
      <c r="H35" s="1234"/>
      <c r="I35" s="1253"/>
      <c r="J35" s="1234"/>
      <c r="K35" s="1234"/>
      <c r="L35" s="1234"/>
      <c r="M35" s="1234"/>
      <c r="N35" s="1234"/>
      <c r="O35" s="1234"/>
      <c r="P35" s="1234"/>
      <c r="Q35" s="1234"/>
      <c r="R35" s="658">
        <f t="shared" si="14"/>
        <v>6.1333333333333337</v>
      </c>
      <c r="S35" s="659">
        <f t="shared" si="15"/>
        <v>0.10957268290731126</v>
      </c>
      <c r="T35" s="658">
        <f t="shared" si="16"/>
        <v>5.9530862699508065</v>
      </c>
      <c r="U35" s="660" t="s">
        <v>35</v>
      </c>
      <c r="V35" s="661">
        <f t="shared" si="17"/>
        <v>6.313580396715861</v>
      </c>
      <c r="W35" s="662"/>
      <c r="X35" s="663"/>
      <c r="Y35" s="663"/>
    </row>
    <row r="36" spans="1:30" ht="13.75" customHeight="1">
      <c r="A36" s="606"/>
      <c r="B36" s="150"/>
      <c r="C36" s="150"/>
      <c r="D36" s="664" t="str">
        <f t="shared" si="12"/>
        <v>Datum</v>
      </c>
      <c r="E36" s="712">
        <f>V42</f>
        <v>41365</v>
      </c>
      <c r="F36" s="712">
        <f>E36+$V43</f>
        <v>41372</v>
      </c>
      <c r="G36" s="712">
        <f t="shared" ref="G36:Q36" si="18">F36+$V43</f>
        <v>41379</v>
      </c>
      <c r="H36" s="712">
        <f>G36+$V43</f>
        <v>41386</v>
      </c>
      <c r="I36" s="1014">
        <f>H36+$V43</f>
        <v>41393</v>
      </c>
      <c r="J36" s="712">
        <f t="shared" si="18"/>
        <v>41400</v>
      </c>
      <c r="K36" s="712">
        <f t="shared" si="18"/>
        <v>41407</v>
      </c>
      <c r="L36" s="712">
        <f>K36+$V43</f>
        <v>41414</v>
      </c>
      <c r="M36" s="712">
        <f>L36+$V43</f>
        <v>41421</v>
      </c>
      <c r="N36" s="712">
        <f t="shared" si="18"/>
        <v>41428</v>
      </c>
      <c r="O36" s="711">
        <f t="shared" si="18"/>
        <v>41435</v>
      </c>
      <c r="P36" s="712">
        <f t="shared" si="18"/>
        <v>41442</v>
      </c>
      <c r="Q36" s="712">
        <f t="shared" si="18"/>
        <v>41449</v>
      </c>
      <c r="R36" s="665"/>
      <c r="S36" s="666">
        <f>(AVERAGE('(intern)'!O4:AA12)+(86/18)/33.3)</f>
        <v>7.0166261318674188</v>
      </c>
      <c r="T36" s="667" t="s">
        <v>33</v>
      </c>
      <c r="U36" s="668"/>
      <c r="V36" s="669"/>
      <c r="W36" s="662"/>
      <c r="X36" s="663"/>
      <c r="Y36" s="663"/>
    </row>
    <row r="37" spans="1:30" ht="13.75" customHeight="1">
      <c r="A37" s="606"/>
      <c r="B37" s="150"/>
      <c r="C37" s="150"/>
      <c r="D37" s="670" t="str">
        <f t="shared" si="12"/>
        <v>Tagesminimum</v>
      </c>
      <c r="E37" s="671">
        <f t="shared" ref="E37:K37" si="19">IF(MIN(E27:E35)=0,"-",MIN(E27:E35))</f>
        <v>5.2</v>
      </c>
      <c r="F37" s="671">
        <f t="shared" si="19"/>
        <v>5.9</v>
      </c>
      <c r="G37" s="672" t="str">
        <f t="shared" si="19"/>
        <v>-</v>
      </c>
      <c r="H37" s="671" t="str">
        <f>IF(MIN(H27:H35)=0,"-",MIN(H27:H35))</f>
        <v>-</v>
      </c>
      <c r="I37" s="673" t="str">
        <f t="shared" si="19"/>
        <v>-</v>
      </c>
      <c r="J37" s="671" t="str">
        <f t="shared" si="19"/>
        <v>-</v>
      </c>
      <c r="K37" s="671" t="str">
        <f t="shared" si="19"/>
        <v>-</v>
      </c>
      <c r="L37" s="671" t="str">
        <f t="shared" ref="L37:Q37" si="20">IF(MIN(L27:L35)=0,"-",MIN(L27:L35))</f>
        <v>-</v>
      </c>
      <c r="M37" s="673" t="str">
        <f t="shared" si="20"/>
        <v>-</v>
      </c>
      <c r="N37" s="671" t="str">
        <f t="shared" si="20"/>
        <v>-</v>
      </c>
      <c r="O37" s="671" t="str">
        <f t="shared" si="20"/>
        <v>-</v>
      </c>
      <c r="P37" s="671" t="str">
        <f t="shared" si="20"/>
        <v>-</v>
      </c>
      <c r="Q37" s="671" t="str">
        <f t="shared" si="20"/>
        <v>-</v>
      </c>
      <c r="R37" s="674" t="s">
        <v>17</v>
      </c>
      <c r="S37" s="675">
        <f>(AVERAGE('(intern)'!O4:S12)+(86/18)/33.3)</f>
        <v>7.0130200708252843</v>
      </c>
      <c r="T37" s="676" t="s">
        <v>19</v>
      </c>
      <c r="U37" s="677" t="s">
        <v>20</v>
      </c>
      <c r="V37" s="678"/>
      <c r="W37" s="662"/>
      <c r="X37" s="663"/>
      <c r="Y37" s="663"/>
    </row>
    <row r="38" spans="1:30" ht="13.75" customHeight="1">
      <c r="A38" s="606"/>
      <c r="B38" s="150"/>
      <c r="C38" s="150"/>
      <c r="D38" s="679" t="str">
        <f t="shared" si="12"/>
        <v>Tagesmaximum</v>
      </c>
      <c r="E38" s="671">
        <f>IF(MAX(E27:E35)=0,"-",MAX(E27:E35))</f>
        <v>6.8</v>
      </c>
      <c r="F38" s="671">
        <f>IF(MAX(F27:F35)=0,"-",MAX(F27:F35))</f>
        <v>9.4</v>
      </c>
      <c r="G38" s="672" t="str">
        <f t="shared" ref="G38:K38" si="21">IF(MAX(G27:G35)=0,"-",MAX(G27:G35))</f>
        <v>-</v>
      </c>
      <c r="H38" s="671" t="str">
        <f>IF(MAX(H27:H35)=0,"-",MAX(H27:H35))</f>
        <v>-</v>
      </c>
      <c r="I38" s="673" t="str">
        <f t="shared" si="21"/>
        <v>-</v>
      </c>
      <c r="J38" s="671" t="str">
        <f t="shared" si="21"/>
        <v>-</v>
      </c>
      <c r="K38" s="671" t="str">
        <f t="shared" si="21"/>
        <v>-</v>
      </c>
      <c r="L38" s="671" t="str">
        <f t="shared" ref="L38:Q38" si="22">IF(MAX(L27:L35)=0,"-",MAX(L27:L35))</f>
        <v>-</v>
      </c>
      <c r="M38" s="673" t="str">
        <f t="shared" si="22"/>
        <v>-</v>
      </c>
      <c r="N38" s="671" t="str">
        <f t="shared" si="22"/>
        <v>-</v>
      </c>
      <c r="O38" s="671" t="str">
        <f t="shared" si="22"/>
        <v>-</v>
      </c>
      <c r="P38" s="671" t="str">
        <f t="shared" si="22"/>
        <v>-</v>
      </c>
      <c r="Q38" s="671" t="str">
        <f t="shared" si="22"/>
        <v>-</v>
      </c>
      <c r="R38" s="667"/>
      <c r="S38" s="680">
        <f>(AVERAGE('(intern)'!S4:W12)+(86/18)/33.3)</f>
        <v>7.0316669823984093</v>
      </c>
      <c r="T38" s="681" t="s">
        <v>19</v>
      </c>
      <c r="U38" s="668"/>
      <c r="V38" s="150"/>
      <c r="W38" s="662"/>
      <c r="X38" s="663"/>
      <c r="Y38" s="663"/>
    </row>
    <row r="39" spans="1:30" ht="13.75" customHeight="1">
      <c r="A39" s="606"/>
      <c r="B39" s="150"/>
      <c r="C39" s="150"/>
      <c r="D39" s="655" t="str">
        <f t="shared" si="12"/>
        <v>Tagesmittelwert</v>
      </c>
      <c r="E39" s="682">
        <f>IF(E38="-",R16,AVERAGE(E27:E35))</f>
        <v>5.916666666666667</v>
      </c>
      <c r="F39" s="682">
        <f>IF(F38="-",E39,AVERAGE(F27:F35))</f>
        <v>7.3222222222222229</v>
      </c>
      <c r="G39" s="683">
        <f t="shared" ref="G39:Q39" si="23">IF(G38="-",F39,AVERAGE(G27:G35))</f>
        <v>7.3222222222222229</v>
      </c>
      <c r="H39" s="682">
        <f>IF(H38="-",G39,AVERAGE(H27:H35))</f>
        <v>7.3222222222222229</v>
      </c>
      <c r="I39" s="684">
        <f>IF(I38="-",H39,AVERAGE(I27:I35))</f>
        <v>7.3222222222222229</v>
      </c>
      <c r="J39" s="682">
        <f t="shared" si="23"/>
        <v>7.3222222222222229</v>
      </c>
      <c r="K39" s="682">
        <f t="shared" si="23"/>
        <v>7.3222222222222229</v>
      </c>
      <c r="L39" s="682">
        <f>IF(L38="-",K39,AVERAGE(L27:L35))</f>
        <v>7.3222222222222229</v>
      </c>
      <c r="M39" s="684">
        <f>IF(M38="-",L39,AVERAGE(M27:M35))</f>
        <v>7.3222222222222229</v>
      </c>
      <c r="N39" s="682">
        <f>IF(N38="-",M39,AVERAGE(N27:N35))</f>
        <v>7.3222222222222229</v>
      </c>
      <c r="O39" s="682">
        <f>IF(O38="-",N39,AVERAGE(O27:O35))</f>
        <v>7.3222222222222229</v>
      </c>
      <c r="P39" s="682">
        <f>IF(P38="-",O39,AVERAGE(P27:P35))</f>
        <v>7.3222222222222229</v>
      </c>
      <c r="Q39" s="682">
        <f t="shared" si="23"/>
        <v>7.3222222222222229</v>
      </c>
      <c r="R39" s="685">
        <f>AVERAGE(E39:Q39)</f>
        <v>7.2141025641025651</v>
      </c>
      <c r="S39" s="686">
        <f>(AVERAGE('(intern)'!W4:AA12)+(86/18)/33.3)</f>
        <v>7.0218055551675933</v>
      </c>
      <c r="T39" s="687" t="s">
        <v>19</v>
      </c>
      <c r="U39" s="668"/>
      <c r="V39" s="150"/>
      <c r="W39" s="662"/>
      <c r="X39" s="663"/>
      <c r="Y39" s="663"/>
      <c r="AD39" s="688"/>
    </row>
    <row r="40" spans="1:30" ht="13.75" customHeight="1" thickBot="1">
      <c r="A40" s="606"/>
      <c r="B40" s="150"/>
      <c r="C40" s="150"/>
      <c r="D40" s="689"/>
      <c r="E40" s="690">
        <f>WEEKDAY(E36)</f>
        <v>1</v>
      </c>
      <c r="F40" s="690">
        <f>WEEKDAY(F36)</f>
        <v>1</v>
      </c>
      <c r="G40" s="690">
        <f t="shared" ref="G40:Q40" si="24">WEEKDAY(G36)</f>
        <v>1</v>
      </c>
      <c r="H40" s="1015">
        <f t="shared" si="24"/>
        <v>1</v>
      </c>
      <c r="I40" s="1015">
        <f t="shared" si="24"/>
        <v>1</v>
      </c>
      <c r="J40" s="691">
        <f t="shared" si="24"/>
        <v>1</v>
      </c>
      <c r="K40" s="690">
        <f t="shared" si="24"/>
        <v>1</v>
      </c>
      <c r="L40" s="690">
        <f t="shared" si="24"/>
        <v>1</v>
      </c>
      <c r="M40" s="690">
        <f t="shared" si="24"/>
        <v>1</v>
      </c>
      <c r="N40" s="690">
        <f t="shared" si="24"/>
        <v>1</v>
      </c>
      <c r="O40" s="690">
        <f t="shared" si="24"/>
        <v>1</v>
      </c>
      <c r="P40" s="690">
        <f t="shared" si="24"/>
        <v>1</v>
      </c>
      <c r="Q40" s="690">
        <f t="shared" si="24"/>
        <v>1</v>
      </c>
      <c r="R40" s="149"/>
      <c r="S40" s="692"/>
      <c r="T40" s="693"/>
      <c r="U40" s="668"/>
      <c r="V40" s="150"/>
      <c r="W40" s="662"/>
      <c r="X40" s="663"/>
      <c r="Y40" s="663"/>
    </row>
    <row r="41" spans="1:30" ht="28" customHeight="1">
      <c r="A41" s="606"/>
      <c r="B41" s="1371" t="s">
        <v>84</v>
      </c>
      <c r="C41" s="1372"/>
      <c r="D41" s="955" t="str">
        <f t="shared" ref="D41:D46" si="25">D18</f>
        <v>I.E. / Basal</v>
      </c>
      <c r="E41" s="569" t="s">
        <v>167</v>
      </c>
      <c r="F41" s="569" t="s">
        <v>167</v>
      </c>
      <c r="G41" s="569" t="s">
        <v>167</v>
      </c>
      <c r="H41" s="569" t="s">
        <v>167</v>
      </c>
      <c r="I41" s="569" t="s">
        <v>167</v>
      </c>
      <c r="J41" s="569" t="s">
        <v>167</v>
      </c>
      <c r="K41" s="569" t="s">
        <v>167</v>
      </c>
      <c r="L41" s="569" t="s">
        <v>167</v>
      </c>
      <c r="M41" s="569" t="s">
        <v>167</v>
      </c>
      <c r="N41" s="569" t="s">
        <v>167</v>
      </c>
      <c r="O41" s="569" t="s">
        <v>167</v>
      </c>
      <c r="P41" s="569" t="s">
        <v>167</v>
      </c>
      <c r="Q41" s="569" t="s">
        <v>167</v>
      </c>
      <c r="R41" s="1328" t="s">
        <v>26</v>
      </c>
      <c r="S41" s="1329"/>
      <c r="T41" s="1340" t="s">
        <v>43</v>
      </c>
      <c r="U41" s="1340"/>
      <c r="V41" s="1278">
        <v>1</v>
      </c>
      <c r="W41" s="662"/>
      <c r="X41" s="663"/>
      <c r="Y41" s="663"/>
    </row>
    <row r="42" spans="1:30" ht="28" customHeight="1">
      <c r="A42" s="606"/>
      <c r="B42" s="694"/>
      <c r="C42" s="694"/>
      <c r="D42" s="956" t="str">
        <f t="shared" si="25"/>
        <v>BE</v>
      </c>
      <c r="E42" s="1119" t="s">
        <v>157</v>
      </c>
      <c r="F42" s="1119" t="s">
        <v>157</v>
      </c>
      <c r="G42" s="1119" t="s">
        <v>157</v>
      </c>
      <c r="H42" s="1119" t="s">
        <v>157</v>
      </c>
      <c r="I42" s="1119" t="s">
        <v>157</v>
      </c>
      <c r="J42" s="1119" t="s">
        <v>157</v>
      </c>
      <c r="K42" s="1119" t="s">
        <v>157</v>
      </c>
      <c r="L42" s="1119" t="s">
        <v>157</v>
      </c>
      <c r="M42" s="1119" t="s">
        <v>157</v>
      </c>
      <c r="N42" s="1119" t="s">
        <v>157</v>
      </c>
      <c r="O42" s="1119" t="s">
        <v>157</v>
      </c>
      <c r="P42" s="1119" t="s">
        <v>157</v>
      </c>
      <c r="Q42" s="1119" t="s">
        <v>157</v>
      </c>
      <c r="R42" s="1330"/>
      <c r="S42" s="1331"/>
      <c r="T42" s="1337" t="s">
        <v>85</v>
      </c>
      <c r="U42" s="1337"/>
      <c r="V42" s="132">
        <f>Q13+V43</f>
        <v>41365</v>
      </c>
      <c r="W42" s="662"/>
      <c r="X42" s="663"/>
      <c r="Y42" s="663"/>
    </row>
    <row r="43" spans="1:30" ht="28" customHeight="1" thickBot="1">
      <c r="A43" s="606"/>
      <c r="B43" s="694"/>
      <c r="C43" s="694"/>
      <c r="D43" s="956" t="str">
        <f t="shared" si="25"/>
        <v>Sport</v>
      </c>
      <c r="E43" s="565"/>
      <c r="F43" s="1017"/>
      <c r="G43" s="565"/>
      <c r="H43" s="564"/>
      <c r="I43" s="939"/>
      <c r="J43" s="1019"/>
      <c r="K43" s="939"/>
      <c r="L43" s="939"/>
      <c r="M43" s="939"/>
      <c r="N43" s="939"/>
      <c r="O43" s="939"/>
      <c r="P43" s="1069"/>
      <c r="Q43" s="939"/>
      <c r="R43" s="1332"/>
      <c r="S43" s="1333"/>
      <c r="T43" s="1338" t="s">
        <v>27</v>
      </c>
      <c r="U43" s="1338"/>
      <c r="V43" s="580">
        <f>V20</f>
        <v>7</v>
      </c>
      <c r="W43" s="662"/>
      <c r="X43" s="663"/>
      <c r="Y43" s="663"/>
    </row>
    <row r="44" spans="1:30" ht="28" customHeight="1" thickBot="1">
      <c r="A44" s="606"/>
      <c r="B44" s="694"/>
      <c r="C44" s="694"/>
      <c r="D44" s="956" t="str">
        <f t="shared" si="25"/>
        <v>Krankheit</v>
      </c>
      <c r="E44" s="990"/>
      <c r="F44" s="1128"/>
      <c r="G44" s="990"/>
      <c r="H44" s="577"/>
      <c r="I44" s="564"/>
      <c r="J44" s="990"/>
      <c r="K44" s="990"/>
      <c r="L44" s="940"/>
      <c r="M44" s="576"/>
      <c r="N44" s="940"/>
      <c r="O44" s="940"/>
      <c r="P44" s="1029"/>
      <c r="Q44" s="941"/>
      <c r="R44" s="149"/>
      <c r="S44" s="150"/>
      <c r="T44" s="150"/>
      <c r="U44" s="151"/>
      <c r="V44" s="152"/>
      <c r="W44" s="662"/>
      <c r="X44" s="663"/>
      <c r="Y44" s="663"/>
    </row>
    <row r="45" spans="1:30" ht="28" customHeight="1">
      <c r="A45" s="606"/>
      <c r="B45" s="694"/>
      <c r="C45" s="694"/>
      <c r="D45" s="956" t="str">
        <f t="shared" si="25"/>
        <v>Besonderheiten</v>
      </c>
      <c r="E45" s="1115"/>
      <c r="F45" s="1130"/>
      <c r="G45" s="962"/>
      <c r="H45" s="559"/>
      <c r="I45" s="1018"/>
      <c r="J45" s="1115"/>
      <c r="K45" s="1123"/>
      <c r="L45" s="1122"/>
      <c r="M45" s="942"/>
      <c r="N45" s="943"/>
      <c r="O45" s="1078"/>
      <c r="P45" s="1124"/>
      <c r="Q45" s="1101"/>
      <c r="R45" s="149"/>
      <c r="S45" s="153" t="s">
        <v>170</v>
      </c>
      <c r="T45" s="1339" t="s">
        <v>59</v>
      </c>
      <c r="U45" s="1340"/>
      <c r="V45" s="1589">
        <v>7.6</v>
      </c>
      <c r="W45" s="662"/>
      <c r="X45" s="663"/>
      <c r="Y45" s="663"/>
    </row>
    <row r="46" spans="1:30" ht="28" customHeight="1">
      <c r="A46" s="606"/>
      <c r="B46" s="694"/>
      <c r="C46" s="694"/>
      <c r="D46" s="956" t="str">
        <f t="shared" si="25"/>
        <v>Sonstiges</v>
      </c>
      <c r="E46" s="525"/>
      <c r="F46" s="1129"/>
      <c r="G46" s="566"/>
      <c r="H46" s="558"/>
      <c r="I46" s="1016"/>
      <c r="J46" s="566"/>
      <c r="K46" s="566"/>
      <c r="L46" s="1125"/>
      <c r="M46" s="1126"/>
      <c r="N46" s="944"/>
      <c r="O46" s="558"/>
      <c r="P46" s="1127"/>
      <c r="Q46" s="944"/>
      <c r="R46" s="149"/>
      <c r="S46" s="151"/>
      <c r="T46" s="1341" t="s">
        <v>47</v>
      </c>
      <c r="U46" s="1342"/>
      <c r="V46" s="1279">
        <f>V45</f>
        <v>7.6</v>
      </c>
      <c r="W46" s="662"/>
      <c r="X46" s="663"/>
      <c r="Y46" s="663"/>
    </row>
    <row r="47" spans="1:30">
      <c r="A47" s="606"/>
      <c r="B47" s="606"/>
      <c r="C47" s="606"/>
      <c r="D47" s="606"/>
      <c r="E47" s="606"/>
      <c r="F47" s="606"/>
      <c r="G47" s="606"/>
      <c r="H47" s="606"/>
      <c r="I47" s="606"/>
      <c r="J47" s="606"/>
      <c r="K47" s="606"/>
      <c r="L47" s="606"/>
      <c r="M47" s="606"/>
      <c r="N47" s="606"/>
      <c r="O47" s="606"/>
      <c r="P47" s="606"/>
      <c r="Q47" s="606"/>
      <c r="R47" s="606"/>
      <c r="S47" s="606"/>
      <c r="T47" s="606"/>
      <c r="U47" s="607"/>
      <c r="V47" s="606"/>
      <c r="W47" s="662"/>
      <c r="X47" s="663"/>
      <c r="Y47" s="663"/>
    </row>
    <row r="48" spans="1:30">
      <c r="A48" s="606"/>
      <c r="B48" s="606"/>
      <c r="C48" s="606"/>
      <c r="D48" s="695" t="s">
        <v>28</v>
      </c>
      <c r="E48" s="696">
        <f>WEEKNUM(E59,1)</f>
        <v>27</v>
      </c>
      <c r="F48" s="696">
        <f t="shared" ref="F48:Q48" si="26">WEEKNUM(F59,1)</f>
        <v>28</v>
      </c>
      <c r="G48" s="696">
        <f t="shared" si="26"/>
        <v>29</v>
      </c>
      <c r="H48" s="696">
        <f t="shared" si="26"/>
        <v>30</v>
      </c>
      <c r="I48" s="696">
        <f t="shared" si="26"/>
        <v>31</v>
      </c>
      <c r="J48" s="696">
        <f t="shared" si="26"/>
        <v>32</v>
      </c>
      <c r="K48" s="697">
        <f t="shared" si="26"/>
        <v>33</v>
      </c>
      <c r="L48" s="696">
        <f t="shared" si="26"/>
        <v>34</v>
      </c>
      <c r="M48" s="696">
        <f t="shared" si="26"/>
        <v>35</v>
      </c>
      <c r="N48" s="696">
        <f t="shared" si="26"/>
        <v>36</v>
      </c>
      <c r="O48" s="696">
        <f t="shared" si="26"/>
        <v>37</v>
      </c>
      <c r="P48" s="696">
        <f t="shared" si="26"/>
        <v>38</v>
      </c>
      <c r="Q48" s="696">
        <f t="shared" si="26"/>
        <v>39</v>
      </c>
      <c r="R48" s="606"/>
      <c r="S48" s="606"/>
      <c r="T48" s="606"/>
      <c r="U48" s="607"/>
      <c r="V48" s="606"/>
      <c r="W48" s="662"/>
      <c r="X48" s="663"/>
      <c r="Y48" s="663"/>
    </row>
    <row r="49" spans="1:25" ht="13.75" customHeight="1">
      <c r="A49" s="606"/>
      <c r="B49" s="134"/>
      <c r="C49" s="134"/>
      <c r="D49" s="698" t="str">
        <f>D26</f>
        <v>Glucose [mg/dl]</v>
      </c>
      <c r="E49" s="699" t="str">
        <f>IF(E63=2,"MO",IF(E63=3,"DI",IF(E63=4,"MI",IF(E63=5,"DO",IF(E63=6,"FR",IF(E63=7,"SA","SO"))))))</f>
        <v>SO</v>
      </c>
      <c r="F49" s="696" t="str">
        <f t="shared" ref="F49:Q49" si="27">IF(F63=2,"MO",IF(F63=3,"DI",IF(F63=4,"MI",IF(F63=5,"DO",IF(F63=6,"FR",IF(F63=7,"SA","SO"))))))</f>
        <v>SO</v>
      </c>
      <c r="G49" s="696" t="str">
        <f t="shared" si="27"/>
        <v>SO</v>
      </c>
      <c r="H49" s="700" t="str">
        <f t="shared" si="27"/>
        <v>SO</v>
      </c>
      <c r="I49" s="700" t="str">
        <f t="shared" si="27"/>
        <v>SO</v>
      </c>
      <c r="J49" s="700" t="str">
        <f t="shared" si="27"/>
        <v>SO</v>
      </c>
      <c r="K49" s="701" t="str">
        <f t="shared" si="27"/>
        <v>SO</v>
      </c>
      <c r="L49" s="696" t="str">
        <f t="shared" si="27"/>
        <v>SO</v>
      </c>
      <c r="M49" s="696" t="str">
        <f t="shared" si="27"/>
        <v>SO</v>
      </c>
      <c r="N49" s="696" t="str">
        <f t="shared" si="27"/>
        <v>SO</v>
      </c>
      <c r="O49" s="696" t="str">
        <f t="shared" si="27"/>
        <v>SO</v>
      </c>
      <c r="P49" s="696" t="str">
        <f t="shared" si="27"/>
        <v>SO</v>
      </c>
      <c r="Q49" s="696" t="str">
        <f t="shared" si="27"/>
        <v>SO</v>
      </c>
      <c r="R49" s="702" t="s">
        <v>51</v>
      </c>
      <c r="S49" s="703" t="s">
        <v>22</v>
      </c>
      <c r="T49" s="1347" t="str">
        <f>CONCATENATE("±",V49,"σ")</f>
        <v>±1σ</v>
      </c>
      <c r="U49" s="1348"/>
      <c r="V49" s="614">
        <v>1</v>
      </c>
      <c r="W49" s="662"/>
      <c r="X49" s="663"/>
      <c r="Y49" s="663"/>
    </row>
    <row r="50" spans="1:25" ht="13.75" customHeight="1">
      <c r="A50" s="606"/>
      <c r="B50" s="134"/>
      <c r="C50" s="134"/>
      <c r="D50" s="698">
        <f t="shared" ref="D50:D62" si="28">D27</f>
        <v>0.29166666666666669</v>
      </c>
      <c r="E50" s="963"/>
      <c r="F50" s="965"/>
      <c r="G50" s="1087"/>
      <c r="H50" s="969"/>
      <c r="I50" s="963"/>
      <c r="J50" s="1087"/>
      <c r="K50" s="963"/>
      <c r="L50" s="963"/>
      <c r="M50" s="617"/>
      <c r="N50" s="617"/>
      <c r="O50" s="1144"/>
      <c r="P50" s="623"/>
      <c r="Q50" s="617"/>
      <c r="R50" s="704">
        <f>IF(COUNTIF(E50:Q50,"")&gt;10,R27,AVERAGE(E50:Q50))</f>
        <v>6.1307692307692312</v>
      </c>
      <c r="S50" s="705">
        <f t="shared" ref="S50:S58" si="29">IF(COUNTIF(E50:Q50,"")&gt;10,S27,STDEV(E50:Q50))</f>
        <v>0.10154707053396356</v>
      </c>
      <c r="T50" s="704">
        <f>R50-$S$251*S50</f>
        <v>6.1307692307692312</v>
      </c>
      <c r="U50" s="706" t="s">
        <v>35</v>
      </c>
      <c r="V50" s="707">
        <f>R50+$V$49*S50</f>
        <v>6.2323163013031948</v>
      </c>
      <c r="W50" s="662"/>
      <c r="X50" s="663"/>
      <c r="Y50" s="663"/>
    </row>
    <row r="51" spans="1:25" ht="13.75" customHeight="1">
      <c r="A51" s="606"/>
      <c r="B51" s="134"/>
      <c r="C51" s="134"/>
      <c r="D51" s="698">
        <f t="shared" si="28"/>
        <v>0.39583333333333331</v>
      </c>
      <c r="E51" s="964"/>
      <c r="F51" s="965"/>
      <c r="G51" s="1087"/>
      <c r="H51" s="969"/>
      <c r="I51" s="963"/>
      <c r="J51" s="618"/>
      <c r="K51" s="619"/>
      <c r="L51" s="619"/>
      <c r="M51" s="617"/>
      <c r="N51" s="617"/>
      <c r="O51" s="1145"/>
      <c r="P51" s="623"/>
      <c r="Q51" s="617"/>
      <c r="R51" s="704">
        <f>IF(COUNTIF(E51:Q51,"")&gt;10,R28,AVERAGE(E51:Q51))</f>
        <v>9.8546296296296294</v>
      </c>
      <c r="S51" s="705">
        <f t="shared" si="29"/>
        <v>1.1032597179438779</v>
      </c>
      <c r="T51" s="704">
        <f t="shared" ref="T51:T58" si="30">R51-$S$251*S51</f>
        <v>9.8546296296296294</v>
      </c>
      <c r="U51" s="706" t="s">
        <v>35</v>
      </c>
      <c r="V51" s="707">
        <f t="shared" ref="V51:V58" si="31">R51+$V$49*S51</f>
        <v>10.957889347573508</v>
      </c>
      <c r="W51" s="662"/>
      <c r="X51" s="663"/>
      <c r="Y51" s="663"/>
    </row>
    <row r="52" spans="1:25" ht="13.75" customHeight="1">
      <c r="A52" s="606"/>
      <c r="B52" s="134"/>
      <c r="C52" s="134"/>
      <c r="D52" s="698">
        <f t="shared" si="28"/>
        <v>0.5</v>
      </c>
      <c r="E52" s="964"/>
      <c r="F52" s="965"/>
      <c r="G52" s="965"/>
      <c r="H52" s="969"/>
      <c r="I52" s="964"/>
      <c r="J52" s="965"/>
      <c r="K52" s="964"/>
      <c r="L52" s="963"/>
      <c r="M52" s="618"/>
      <c r="N52" s="617"/>
      <c r="O52" s="1145"/>
      <c r="P52" s="623"/>
      <c r="Q52" s="617"/>
      <c r="R52" s="704">
        <f t="shared" ref="R52:R58" si="32">IF(COUNTIF(E52:Q52,"")&gt;10,R29,AVERAGE(E52:Q52))</f>
        <v>7.3435897435897441</v>
      </c>
      <c r="S52" s="705">
        <f t="shared" si="29"/>
        <v>1.630246904590587</v>
      </c>
      <c r="T52" s="704">
        <f t="shared" si="30"/>
        <v>7.3435897435897441</v>
      </c>
      <c r="U52" s="706" t="s">
        <v>35</v>
      </c>
      <c r="V52" s="707">
        <f t="shared" si="31"/>
        <v>8.9738366481803311</v>
      </c>
      <c r="W52" s="662"/>
      <c r="X52" s="663"/>
      <c r="Y52" s="663"/>
    </row>
    <row r="53" spans="1:25" ht="13.75" customHeight="1">
      <c r="A53" s="606"/>
      <c r="B53" s="134"/>
      <c r="C53" s="134"/>
      <c r="D53" s="698">
        <f t="shared" si="28"/>
        <v>0.60416666666666663</v>
      </c>
      <c r="E53" s="964"/>
      <c r="F53" s="965"/>
      <c r="G53" s="1087"/>
      <c r="H53" s="968"/>
      <c r="I53" s="964"/>
      <c r="J53" s="1087"/>
      <c r="K53" s="964"/>
      <c r="L53" s="964"/>
      <c r="M53" s="617"/>
      <c r="N53" s="617"/>
      <c r="O53" s="1145"/>
      <c r="P53" s="623"/>
      <c r="Q53" s="617"/>
      <c r="R53" s="704">
        <f t="shared" si="32"/>
        <v>7.0808080808080822</v>
      </c>
      <c r="S53" s="705">
        <f t="shared" si="29"/>
        <v>2.0484507298973624</v>
      </c>
      <c r="T53" s="704">
        <f t="shared" si="30"/>
        <v>7.0808080808080822</v>
      </c>
      <c r="U53" s="706" t="s">
        <v>35</v>
      </c>
      <c r="V53" s="707">
        <f t="shared" si="31"/>
        <v>9.1292588107054442</v>
      </c>
      <c r="W53" s="606"/>
      <c r="X53" s="663"/>
      <c r="Y53" s="663"/>
    </row>
    <row r="54" spans="1:25" ht="13.75" customHeight="1">
      <c r="A54" s="606"/>
      <c r="B54" s="134"/>
      <c r="C54" s="134"/>
      <c r="D54" s="698">
        <f t="shared" si="28"/>
        <v>0.72916666666666663</v>
      </c>
      <c r="E54" s="964"/>
      <c r="F54" s="1087"/>
      <c r="G54" s="618"/>
      <c r="H54" s="968"/>
      <c r="I54" s="963"/>
      <c r="J54" s="1087"/>
      <c r="K54" s="964"/>
      <c r="L54" s="963"/>
      <c r="M54" s="617"/>
      <c r="N54" s="617"/>
      <c r="O54" s="1145"/>
      <c r="P54" s="623"/>
      <c r="Q54" s="617"/>
      <c r="R54" s="704">
        <f t="shared" si="32"/>
        <v>7.0931623931623937</v>
      </c>
      <c r="S54" s="705">
        <f t="shared" si="29"/>
        <v>1.6066255467148352</v>
      </c>
      <c r="T54" s="704">
        <f>R54-$S$251*S54</f>
        <v>7.0931623931623937</v>
      </c>
      <c r="U54" s="706" t="s">
        <v>35</v>
      </c>
      <c r="V54" s="707">
        <f t="shared" si="31"/>
        <v>8.6997879398772291</v>
      </c>
      <c r="W54" s="606"/>
    </row>
    <row r="55" spans="1:25" ht="13.75" customHeight="1">
      <c r="A55" s="606"/>
      <c r="B55" s="134"/>
      <c r="C55" s="134"/>
      <c r="D55" s="698">
        <f t="shared" si="28"/>
        <v>0.83333333333333337</v>
      </c>
      <c r="E55" s="964"/>
      <c r="F55" s="618"/>
      <c r="G55" s="618"/>
      <c r="H55" s="1092"/>
      <c r="I55" s="1087"/>
      <c r="J55" s="618"/>
      <c r="K55" s="963"/>
      <c r="L55" s="964"/>
      <c r="M55" s="617"/>
      <c r="N55" s="617"/>
      <c r="O55" s="1145"/>
      <c r="P55" s="623"/>
      <c r="Q55" s="617"/>
      <c r="R55" s="704">
        <f t="shared" si="32"/>
        <v>9.2518518518518515</v>
      </c>
      <c r="S55" s="705">
        <f t="shared" si="29"/>
        <v>2.3790298475089724</v>
      </c>
      <c r="T55" s="704">
        <f t="shared" si="30"/>
        <v>9.2518518518518515</v>
      </c>
      <c r="U55" s="706" t="s">
        <v>35</v>
      </c>
      <c r="V55" s="707">
        <f t="shared" si="31"/>
        <v>11.630881699360824</v>
      </c>
      <c r="W55" s="606"/>
    </row>
    <row r="56" spans="1:25" ht="13.75" customHeight="1">
      <c r="A56" s="606"/>
      <c r="B56" s="134"/>
      <c r="C56" s="134"/>
      <c r="D56" s="698">
        <f t="shared" si="28"/>
        <v>0.95833333333333337</v>
      </c>
      <c r="E56" s="1085"/>
      <c r="F56" s="965"/>
      <c r="G56" s="1087"/>
      <c r="H56" s="968"/>
      <c r="I56" s="964"/>
      <c r="J56" s="965"/>
      <c r="K56" s="963"/>
      <c r="L56" s="963"/>
      <c r="M56" s="617"/>
      <c r="N56" s="617"/>
      <c r="O56" s="1145"/>
      <c r="P56" s="623"/>
      <c r="Q56" s="617"/>
      <c r="R56" s="704">
        <f t="shared" si="32"/>
        <v>7.9305555555555545</v>
      </c>
      <c r="S56" s="705">
        <f t="shared" si="29"/>
        <v>1.600982617741999</v>
      </c>
      <c r="T56" s="704">
        <f t="shared" si="30"/>
        <v>7.9305555555555545</v>
      </c>
      <c r="U56" s="706" t="s">
        <v>35</v>
      </c>
      <c r="V56" s="707">
        <f t="shared" si="31"/>
        <v>9.5315381732975535</v>
      </c>
      <c r="W56" s="606"/>
    </row>
    <row r="57" spans="1:25" ht="13.75" customHeight="1">
      <c r="A57" s="606"/>
      <c r="B57" s="134"/>
      <c r="C57" s="134"/>
      <c r="D57" s="698" t="str">
        <f t="shared" si="28"/>
        <v>Nacht</v>
      </c>
      <c r="E57" s="1085"/>
      <c r="F57" s="965"/>
      <c r="G57" s="965"/>
      <c r="H57" s="968"/>
      <c r="I57" s="963"/>
      <c r="J57" s="965"/>
      <c r="K57" s="963"/>
      <c r="L57" s="963"/>
      <c r="M57" s="617"/>
      <c r="N57" s="617"/>
      <c r="O57" s="1145"/>
      <c r="P57" s="623"/>
      <c r="Q57" s="617"/>
      <c r="R57" s="704">
        <f t="shared" si="32"/>
        <v>6.1037037037037036</v>
      </c>
      <c r="S57" s="705">
        <f t="shared" si="29"/>
        <v>0.47022055462969597</v>
      </c>
      <c r="T57" s="704">
        <f t="shared" si="30"/>
        <v>6.1037037037037036</v>
      </c>
      <c r="U57" s="706" t="s">
        <v>35</v>
      </c>
      <c r="V57" s="707">
        <f t="shared" si="31"/>
        <v>6.5739242583333999</v>
      </c>
      <c r="W57" s="606"/>
    </row>
    <row r="58" spans="1:25" ht="13.75" customHeight="1">
      <c r="A58" s="606"/>
      <c r="B58" s="134"/>
      <c r="C58" s="134"/>
      <c r="D58" s="698" t="str">
        <f t="shared" si="28"/>
        <v>Früh</v>
      </c>
      <c r="E58" s="1085"/>
      <c r="F58" s="1087"/>
      <c r="G58" s="619"/>
      <c r="H58" s="970"/>
      <c r="I58" s="963"/>
      <c r="J58" s="1087"/>
      <c r="K58" s="963"/>
      <c r="L58" s="964"/>
      <c r="M58" s="617"/>
      <c r="N58" s="617"/>
      <c r="O58" s="1145"/>
      <c r="P58" s="623"/>
      <c r="Q58" s="617"/>
      <c r="R58" s="704">
        <f t="shared" si="32"/>
        <v>6.1333333333333337</v>
      </c>
      <c r="S58" s="705">
        <f t="shared" si="29"/>
        <v>0.10957268290731126</v>
      </c>
      <c r="T58" s="704">
        <f t="shared" si="30"/>
        <v>6.1333333333333337</v>
      </c>
      <c r="U58" s="706" t="s">
        <v>35</v>
      </c>
      <c r="V58" s="707">
        <f t="shared" si="31"/>
        <v>6.2429060162406449</v>
      </c>
      <c r="W58" s="606"/>
    </row>
    <row r="59" spans="1:25" ht="13.75" customHeight="1">
      <c r="A59" s="606"/>
      <c r="B59" s="134"/>
      <c r="C59" s="134"/>
      <c r="D59" s="708" t="str">
        <f t="shared" si="28"/>
        <v>Datum</v>
      </c>
      <c r="E59" s="709">
        <f>V65</f>
        <v>41456</v>
      </c>
      <c r="F59" s="709">
        <f>E59+$V$43</f>
        <v>41463</v>
      </c>
      <c r="G59" s="710">
        <f t="shared" ref="G59" si="33">F59+$V$43</f>
        <v>41470</v>
      </c>
      <c r="H59" s="711">
        <f>G59+$V66</f>
        <v>41477</v>
      </c>
      <c r="I59" s="712">
        <f>H59+$V66</f>
        <v>41484</v>
      </c>
      <c r="J59" s="712">
        <f t="shared" ref="J59:Q59" si="34">I59+$V66</f>
        <v>41491</v>
      </c>
      <c r="K59" s="712">
        <f>J59+$V66</f>
        <v>41498</v>
      </c>
      <c r="L59" s="712">
        <f>K59+$V66</f>
        <v>41505</v>
      </c>
      <c r="M59" s="712">
        <f>L59+$V66</f>
        <v>41512</v>
      </c>
      <c r="N59" s="712">
        <f t="shared" si="34"/>
        <v>41519</v>
      </c>
      <c r="O59" s="712">
        <f t="shared" si="34"/>
        <v>41526</v>
      </c>
      <c r="P59" s="712">
        <f t="shared" si="34"/>
        <v>41533</v>
      </c>
      <c r="Q59" s="712">
        <f t="shared" si="34"/>
        <v>41540</v>
      </c>
      <c r="R59" s="713"/>
      <c r="S59" s="714">
        <f>(AVERAGE('(intern)'!AB4:AN12)+(86/18)/33.3)</f>
        <v>7.023152452835177</v>
      </c>
      <c r="T59" s="715" t="s">
        <v>33</v>
      </c>
      <c r="U59" s="716"/>
      <c r="V59" s="717"/>
      <c r="W59" s="606"/>
    </row>
    <row r="60" spans="1:25" ht="13.75" customHeight="1">
      <c r="A60" s="606"/>
      <c r="B60" s="134"/>
      <c r="C60" s="134"/>
      <c r="D60" s="718" t="str">
        <f t="shared" si="28"/>
        <v>Tagesminimum</v>
      </c>
      <c r="E60" s="719" t="str">
        <f t="shared" ref="E60:L60" si="35">IF(MIN(E50:E58)=0,"-",MIN(E50:E58))</f>
        <v>-</v>
      </c>
      <c r="F60" s="719" t="str">
        <f t="shared" si="35"/>
        <v>-</v>
      </c>
      <c r="G60" s="719" t="str">
        <f t="shared" si="35"/>
        <v>-</v>
      </c>
      <c r="H60" s="719" t="str">
        <f t="shared" si="35"/>
        <v>-</v>
      </c>
      <c r="I60" s="719" t="str">
        <f t="shared" si="35"/>
        <v>-</v>
      </c>
      <c r="J60" s="719" t="str">
        <f t="shared" si="35"/>
        <v>-</v>
      </c>
      <c r="K60" s="720" t="str">
        <f t="shared" si="35"/>
        <v>-</v>
      </c>
      <c r="L60" s="721" t="str">
        <f t="shared" si="35"/>
        <v>-</v>
      </c>
      <c r="M60" s="721" t="str">
        <f>IF(MIN(M50:M58)=0,"-",MIN(M50:M58))</f>
        <v>-</v>
      </c>
      <c r="N60" s="721" t="str">
        <f>IF(MIN(N50:N58)=0,"-",MIN(N50:N58))</f>
        <v>-</v>
      </c>
      <c r="O60" s="719" t="str">
        <f>IF(MIN(O50:O58)=0,"-",MIN(O50:O58))</f>
        <v>-</v>
      </c>
      <c r="P60" s="719" t="str">
        <f>IF(MIN(P50:P58)=0,"-",MIN(P50:P58))</f>
        <v>-</v>
      </c>
      <c r="Q60" s="719" t="str">
        <f>IF(MIN(Q50:Q58)=0,"-",MIN(Q50:Q58))</f>
        <v>-</v>
      </c>
      <c r="R60" s="722" t="s">
        <v>17</v>
      </c>
      <c r="S60" s="723">
        <f>(AVERAGE('(intern)'!AB4:AE12)+(86/18)/33.3)</f>
        <v>7.0231607435943033</v>
      </c>
      <c r="T60" s="724" t="s">
        <v>19</v>
      </c>
      <c r="U60" s="725" t="s">
        <v>20</v>
      </c>
      <c r="V60" s="726"/>
      <c r="W60" s="606"/>
    </row>
    <row r="61" spans="1:25" ht="13.75" customHeight="1">
      <c r="A61" s="606"/>
      <c r="B61" s="134"/>
      <c r="C61" s="134"/>
      <c r="D61" s="727" t="str">
        <f t="shared" si="28"/>
        <v>Tagesmaximum</v>
      </c>
      <c r="E61" s="719" t="str">
        <f>IF(MAX(E50:E58)=0,"-",MAX(E50:E58))</f>
        <v>-</v>
      </c>
      <c r="F61" s="719" t="str">
        <f t="shared" ref="F61:K61" si="36">IF(MAX(F50:F58)=0,"-",MAX(F50:F58))</f>
        <v>-</v>
      </c>
      <c r="G61" s="719" t="str">
        <f t="shared" si="36"/>
        <v>-</v>
      </c>
      <c r="H61" s="719" t="str">
        <f t="shared" si="36"/>
        <v>-</v>
      </c>
      <c r="I61" s="719" t="str">
        <f t="shared" si="36"/>
        <v>-</v>
      </c>
      <c r="J61" s="719" t="str">
        <f t="shared" si="36"/>
        <v>-</v>
      </c>
      <c r="K61" s="720" t="str">
        <f t="shared" si="36"/>
        <v>-</v>
      </c>
      <c r="L61" s="719" t="str">
        <f t="shared" ref="L61:Q61" si="37">IF(MAX(L50:L58)=0,"-",MAX(L50:L58))</f>
        <v>-</v>
      </c>
      <c r="M61" s="719" t="str">
        <f t="shared" si="37"/>
        <v>-</v>
      </c>
      <c r="N61" s="719" t="str">
        <f t="shared" si="37"/>
        <v>-</v>
      </c>
      <c r="O61" s="719" t="str">
        <f t="shared" si="37"/>
        <v>-</v>
      </c>
      <c r="P61" s="719" t="str">
        <f t="shared" si="37"/>
        <v>-</v>
      </c>
      <c r="Q61" s="719" t="str">
        <f t="shared" si="37"/>
        <v>-</v>
      </c>
      <c r="R61" s="715"/>
      <c r="S61" s="728">
        <f>(AVERAGE('(intern)'!AE4:AH12)+(86/18)/33.3)</f>
        <v>7.0231476063065177</v>
      </c>
      <c r="T61" s="729" t="s">
        <v>19</v>
      </c>
      <c r="U61" s="716"/>
      <c r="V61" s="134"/>
      <c r="W61" s="606"/>
    </row>
    <row r="62" spans="1:25" ht="13.75" customHeight="1">
      <c r="A62" s="606"/>
      <c r="B62" s="134"/>
      <c r="C62" s="134"/>
      <c r="D62" s="698" t="str">
        <f t="shared" si="28"/>
        <v>Tagesmittelwert</v>
      </c>
      <c r="E62" s="730">
        <f>IF(E61="-",R39,AVERAGE(E50:E58))</f>
        <v>7.2141025641025651</v>
      </c>
      <c r="F62" s="730">
        <f>IF(F61="-",E62,AVERAGE(F50:F58))</f>
        <v>7.2141025641025651</v>
      </c>
      <c r="G62" s="730">
        <f t="shared" ref="G62:Q62" si="38">IF(G61="-",F62,AVERAGE(G50:G58))</f>
        <v>7.2141025641025651</v>
      </c>
      <c r="H62" s="730">
        <f>IF(H61="-",G62,AVERAGE(H50:H58))</f>
        <v>7.2141025641025651</v>
      </c>
      <c r="I62" s="730">
        <f>IF(I61="-",H62,AVERAGE(I50:I58))</f>
        <v>7.2141025641025651</v>
      </c>
      <c r="J62" s="730">
        <f t="shared" si="38"/>
        <v>7.2141025641025651</v>
      </c>
      <c r="K62" s="731">
        <f t="shared" ref="K62:P62" si="39">IF(K61="-",J62,AVERAGE(K50:K58))</f>
        <v>7.2141025641025651</v>
      </c>
      <c r="L62" s="730">
        <f>IF(L61="-",K62,AVERAGE(L50:L58))</f>
        <v>7.2141025641025651</v>
      </c>
      <c r="M62" s="730">
        <f>IF(M61="-",L62,AVERAGE(M50:M58))</f>
        <v>7.2141025641025651</v>
      </c>
      <c r="N62" s="730">
        <f t="shared" si="39"/>
        <v>7.2141025641025651</v>
      </c>
      <c r="O62" s="730">
        <f t="shared" si="39"/>
        <v>7.2141025641025651</v>
      </c>
      <c r="P62" s="730">
        <f t="shared" si="39"/>
        <v>7.2141025641025651</v>
      </c>
      <c r="Q62" s="730">
        <f t="shared" si="38"/>
        <v>7.2141025641025651</v>
      </c>
      <c r="R62" s="732">
        <f>AVERAGE(E62:Q62)</f>
        <v>7.2141025641025642</v>
      </c>
      <c r="S62" s="733">
        <f>(AVERAGE('(intern)'!AH4:AN12)+(86/18)/33.3)</f>
        <v>7.0231509767364049</v>
      </c>
      <c r="T62" s="734" t="s">
        <v>19</v>
      </c>
      <c r="U62" s="716"/>
      <c r="V62" s="134"/>
      <c r="W62" s="606"/>
    </row>
    <row r="63" spans="1:25" ht="13.75" customHeight="1" thickBot="1">
      <c r="A63" s="606"/>
      <c r="B63" s="134"/>
      <c r="C63" s="134"/>
      <c r="D63" s="735"/>
      <c r="E63" s="736">
        <f>WEEKDAY(E59)</f>
        <v>1</v>
      </c>
      <c r="F63" s="737">
        <f t="shared" ref="F63:Q63" si="40">WEEKDAY(F59)</f>
        <v>1</v>
      </c>
      <c r="G63" s="737">
        <f t="shared" si="40"/>
        <v>1</v>
      </c>
      <c r="H63" s="737">
        <f t="shared" si="40"/>
        <v>1</v>
      </c>
      <c r="I63" s="737">
        <f t="shared" si="40"/>
        <v>1</v>
      </c>
      <c r="J63" s="737">
        <f t="shared" si="40"/>
        <v>1</v>
      </c>
      <c r="K63" s="737">
        <f t="shared" si="40"/>
        <v>1</v>
      </c>
      <c r="L63" s="738">
        <f t="shared" si="40"/>
        <v>1</v>
      </c>
      <c r="M63" s="738">
        <f t="shared" si="40"/>
        <v>1</v>
      </c>
      <c r="N63" s="738">
        <f t="shared" si="40"/>
        <v>1</v>
      </c>
      <c r="O63" s="737">
        <f t="shared" si="40"/>
        <v>1</v>
      </c>
      <c r="P63" s="737">
        <f t="shared" si="40"/>
        <v>1</v>
      </c>
      <c r="Q63" s="737">
        <f t="shared" si="40"/>
        <v>1</v>
      </c>
      <c r="R63" s="133"/>
      <c r="S63" s="739"/>
      <c r="T63" s="740"/>
      <c r="U63" s="716"/>
      <c r="V63" s="134"/>
      <c r="W63" s="606"/>
    </row>
    <row r="64" spans="1:25" ht="28" customHeight="1">
      <c r="A64" s="606"/>
      <c r="B64" s="1373" t="s">
        <v>41</v>
      </c>
      <c r="C64" s="1374"/>
      <c r="D64" s="573" t="str">
        <f t="shared" ref="D64:D69" si="41">D41</f>
        <v>I.E. / Basal</v>
      </c>
      <c r="E64" s="967" t="s">
        <v>167</v>
      </c>
      <c r="F64" s="967" t="s">
        <v>167</v>
      </c>
      <c r="G64" s="967" t="s">
        <v>167</v>
      </c>
      <c r="H64" s="967" t="s">
        <v>167</v>
      </c>
      <c r="I64" s="967" t="s">
        <v>167</v>
      </c>
      <c r="J64" s="967" t="s">
        <v>167</v>
      </c>
      <c r="K64" s="967" t="s">
        <v>167</v>
      </c>
      <c r="L64" s="967" t="s">
        <v>167</v>
      </c>
      <c r="M64" s="967" t="s">
        <v>167</v>
      </c>
      <c r="N64" s="967" t="s">
        <v>167</v>
      </c>
      <c r="O64" s="967" t="s">
        <v>167</v>
      </c>
      <c r="P64" s="967" t="s">
        <v>167</v>
      </c>
      <c r="Q64" s="967" t="s">
        <v>167</v>
      </c>
      <c r="R64" s="1353" t="s">
        <v>52</v>
      </c>
      <c r="S64" s="1354"/>
      <c r="T64" s="1340" t="s">
        <v>43</v>
      </c>
      <c r="U64" s="1340"/>
      <c r="V64" s="1278">
        <v>1</v>
      </c>
      <c r="W64" s="606"/>
    </row>
    <row r="65" spans="1:23" ht="28" customHeight="1">
      <c r="A65" s="606"/>
      <c r="B65" s="741"/>
      <c r="C65" s="741"/>
      <c r="D65" s="574" t="str">
        <f t="shared" si="41"/>
        <v>BE</v>
      </c>
      <c r="E65" s="1135" t="s">
        <v>157</v>
      </c>
      <c r="F65" s="1135" t="s">
        <v>157</v>
      </c>
      <c r="G65" s="1135" t="s">
        <v>157</v>
      </c>
      <c r="H65" s="1135" t="s">
        <v>157</v>
      </c>
      <c r="I65" s="1135" t="s">
        <v>157</v>
      </c>
      <c r="J65" s="1135" t="s">
        <v>157</v>
      </c>
      <c r="K65" s="1135" t="s">
        <v>157</v>
      </c>
      <c r="L65" s="1135" t="s">
        <v>157</v>
      </c>
      <c r="M65" s="1135" t="s">
        <v>157</v>
      </c>
      <c r="N65" s="1135" t="s">
        <v>157</v>
      </c>
      <c r="O65" s="1135" t="s">
        <v>157</v>
      </c>
      <c r="P65" s="1135" t="s">
        <v>157</v>
      </c>
      <c r="Q65" s="1135" t="s">
        <v>157</v>
      </c>
      <c r="R65" s="1355"/>
      <c r="S65" s="1356"/>
      <c r="T65" s="1337" t="s">
        <v>85</v>
      </c>
      <c r="U65" s="1337"/>
      <c r="V65" s="563">
        <f>Q36+V43</f>
        <v>41456</v>
      </c>
      <c r="W65" s="606"/>
    </row>
    <row r="66" spans="1:23" ht="28" customHeight="1" thickBot="1">
      <c r="A66" s="606"/>
      <c r="B66" s="741"/>
      <c r="C66" s="741"/>
      <c r="D66" s="574" t="str">
        <f t="shared" si="41"/>
        <v>Sport</v>
      </c>
      <c r="E66" s="353"/>
      <c r="F66" s="567"/>
      <c r="G66" s="353"/>
      <c r="H66" s="353"/>
      <c r="I66" s="561"/>
      <c r="J66" s="561"/>
      <c r="K66" s="353"/>
      <c r="L66" s="561"/>
      <c r="M66" s="561"/>
      <c r="N66" s="1138"/>
      <c r="O66" s="353"/>
      <c r="P66" s="1139"/>
      <c r="Q66" s="353"/>
      <c r="R66" s="1357"/>
      <c r="S66" s="1358"/>
      <c r="T66" s="1338" t="s">
        <v>27</v>
      </c>
      <c r="U66" s="1338"/>
      <c r="V66" s="580">
        <f>V43</f>
        <v>7</v>
      </c>
      <c r="W66" s="606"/>
    </row>
    <row r="67" spans="1:23" ht="28" customHeight="1" thickBot="1">
      <c r="A67" s="606"/>
      <c r="B67" s="741"/>
      <c r="C67" s="741"/>
      <c r="D67" s="574" t="str">
        <f t="shared" si="41"/>
        <v>Krankheit</v>
      </c>
      <c r="E67" s="940"/>
      <c r="F67" s="940"/>
      <c r="G67" s="940"/>
      <c r="H67" s="561"/>
      <c r="I67" s="357"/>
      <c r="J67" s="561"/>
      <c r="K67" s="353"/>
      <c r="L67" s="353"/>
      <c r="M67" s="562"/>
      <c r="N67" s="353"/>
      <c r="O67" s="357"/>
      <c r="P67" s="509"/>
      <c r="Q67" s="353"/>
      <c r="R67" s="133"/>
      <c r="S67" s="134"/>
      <c r="T67" s="134"/>
      <c r="U67" s="135"/>
      <c r="V67" s="136"/>
      <c r="W67" s="606"/>
    </row>
    <row r="68" spans="1:23" ht="28" customHeight="1">
      <c r="A68" s="606"/>
      <c r="B68" s="741"/>
      <c r="C68" s="741"/>
      <c r="D68" s="574" t="str">
        <f t="shared" si="41"/>
        <v>Besonderheiten</v>
      </c>
      <c r="E68" s="943"/>
      <c r="F68" s="943"/>
      <c r="G68" s="1137"/>
      <c r="H68" s="562"/>
      <c r="I68" s="568"/>
      <c r="J68" s="561"/>
      <c r="K68" s="509"/>
      <c r="L68" s="448"/>
      <c r="M68" s="562"/>
      <c r="N68" s="314"/>
      <c r="O68" s="352"/>
      <c r="P68" s="1124"/>
      <c r="Q68" s="447"/>
      <c r="R68" s="133"/>
      <c r="S68" s="137" t="s">
        <v>170</v>
      </c>
      <c r="T68" s="1339" t="s">
        <v>59</v>
      </c>
      <c r="U68" s="1340"/>
      <c r="V68" s="1590">
        <v>6.8</v>
      </c>
      <c r="W68" s="606"/>
    </row>
    <row r="69" spans="1:23" ht="28" customHeight="1">
      <c r="A69" s="606"/>
      <c r="B69" s="741"/>
      <c r="C69" s="741"/>
      <c r="D69" s="574" t="str">
        <f t="shared" si="41"/>
        <v>Sonstiges</v>
      </c>
      <c r="E69" s="566"/>
      <c r="F69" s="560"/>
      <c r="G69" s="525"/>
      <c r="H69" s="1140"/>
      <c r="I69" s="601"/>
      <c r="J69" s="605"/>
      <c r="K69" s="1141"/>
      <c r="L69" s="305"/>
      <c r="M69" s="605"/>
      <c r="N69" s="374"/>
      <c r="O69" s="374"/>
      <c r="P69" s="1142"/>
      <c r="Q69" s="386"/>
      <c r="R69" s="133"/>
      <c r="S69" s="135"/>
      <c r="T69" s="1336" t="str">
        <f>T46</f>
        <v>Näherung</v>
      </c>
      <c r="U69" s="1336"/>
      <c r="V69" s="1279">
        <v>6.8</v>
      </c>
      <c r="W69" s="606"/>
    </row>
    <row r="70" spans="1:23">
      <c r="A70" s="606"/>
      <c r="B70" s="606"/>
      <c r="C70" s="606"/>
      <c r="D70" s="606"/>
      <c r="E70" s="606"/>
      <c r="F70" s="606"/>
      <c r="G70" s="606"/>
      <c r="H70" s="606"/>
      <c r="I70" s="606"/>
      <c r="J70" s="606"/>
      <c r="K70" s="606"/>
      <c r="L70" s="606"/>
      <c r="M70" s="606"/>
      <c r="N70" s="606"/>
      <c r="O70" s="606"/>
      <c r="P70" s="606"/>
      <c r="Q70" s="606"/>
      <c r="R70" s="606"/>
      <c r="S70" s="606"/>
      <c r="T70" s="606"/>
      <c r="U70" s="607"/>
      <c r="V70" s="606"/>
      <c r="W70" s="606"/>
    </row>
    <row r="71" spans="1:23">
      <c r="A71" s="606"/>
      <c r="B71" s="606"/>
      <c r="C71" s="606"/>
      <c r="D71" s="742" t="s">
        <v>28</v>
      </c>
      <c r="E71" s="743">
        <f>WEEKNUM(E82,1)</f>
        <v>40</v>
      </c>
      <c r="F71" s="743">
        <f t="shared" ref="F71:Q71" si="42">WEEKNUM(F82,1)</f>
        <v>41</v>
      </c>
      <c r="G71" s="743">
        <f t="shared" si="42"/>
        <v>42</v>
      </c>
      <c r="H71" s="743">
        <f t="shared" si="42"/>
        <v>43</v>
      </c>
      <c r="I71" s="743">
        <f t="shared" si="42"/>
        <v>44</v>
      </c>
      <c r="J71" s="743">
        <f t="shared" si="42"/>
        <v>45</v>
      </c>
      <c r="K71" s="743">
        <f t="shared" si="42"/>
        <v>46</v>
      </c>
      <c r="L71" s="743">
        <f t="shared" si="42"/>
        <v>47</v>
      </c>
      <c r="M71" s="743">
        <f t="shared" si="42"/>
        <v>48</v>
      </c>
      <c r="N71" s="743">
        <f t="shared" si="42"/>
        <v>49</v>
      </c>
      <c r="O71" s="743">
        <f t="shared" si="42"/>
        <v>50</v>
      </c>
      <c r="P71" s="743">
        <f t="shared" si="42"/>
        <v>51</v>
      </c>
      <c r="Q71" s="743">
        <f t="shared" si="42"/>
        <v>52</v>
      </c>
      <c r="R71" s="606"/>
      <c r="S71" s="606"/>
      <c r="T71" s="606"/>
      <c r="U71" s="607"/>
      <c r="V71" s="606"/>
      <c r="W71" s="606"/>
    </row>
    <row r="72" spans="1:23" ht="13.75" customHeight="1">
      <c r="A72" s="606"/>
      <c r="B72" s="139"/>
      <c r="C72" s="139"/>
      <c r="D72" s="744" t="str">
        <f>D49</f>
        <v>Glucose [mg/dl]</v>
      </c>
      <c r="E72" s="743" t="str">
        <f>IF(E86=2,"MO",IF(E86=3,"DI",IF(E86=4,"MI",IF(E86=5,"DO",IF(E86=6,"FR",IF(E86=7,"SA","SO"))))))</f>
        <v>SO</v>
      </c>
      <c r="F72" s="743" t="str">
        <f t="shared" ref="F72:Q72" si="43">IF(F86=2,"MO",IF(F86=3,"DI",IF(F86=4,"MI",IF(F86=5,"DO",IF(F86=6,"FR",IF(F86=7,"SA","SO"))))))</f>
        <v>SO</v>
      </c>
      <c r="G72" s="743" t="str">
        <f t="shared" si="43"/>
        <v>SO</v>
      </c>
      <c r="H72" s="743" t="str">
        <f t="shared" si="43"/>
        <v>SO</v>
      </c>
      <c r="I72" s="743" t="str">
        <f t="shared" si="43"/>
        <v>SO</v>
      </c>
      <c r="J72" s="743" t="str">
        <f t="shared" si="43"/>
        <v>SO</v>
      </c>
      <c r="K72" s="743" t="str">
        <f t="shared" si="43"/>
        <v>SO</v>
      </c>
      <c r="L72" s="743" t="str">
        <f t="shared" si="43"/>
        <v>SO</v>
      </c>
      <c r="M72" s="743" t="str">
        <f t="shared" si="43"/>
        <v>SO</v>
      </c>
      <c r="N72" s="743" t="str">
        <f t="shared" si="43"/>
        <v>SO</v>
      </c>
      <c r="O72" s="743" t="str">
        <f t="shared" si="43"/>
        <v>SO</v>
      </c>
      <c r="P72" s="743" t="str">
        <f t="shared" si="43"/>
        <v>SO</v>
      </c>
      <c r="Q72" s="743" t="str">
        <f t="shared" si="43"/>
        <v>SO</v>
      </c>
      <c r="R72" s="745" t="s">
        <v>51</v>
      </c>
      <c r="S72" s="746" t="s">
        <v>22</v>
      </c>
      <c r="T72" s="1343" t="str">
        <f>CONCATENATE("±",V72,"σ")</f>
        <v>±1σ</v>
      </c>
      <c r="U72" s="1344"/>
      <c r="V72" s="614">
        <f>V49</f>
        <v>1</v>
      </c>
      <c r="W72" s="606"/>
    </row>
    <row r="73" spans="1:23" ht="13.75" customHeight="1">
      <c r="A73" s="606"/>
      <c r="B73" s="139"/>
      <c r="C73" s="139"/>
      <c r="D73" s="744">
        <f>D50</f>
        <v>0.29166666666666669</v>
      </c>
      <c r="E73" s="623"/>
      <c r="F73" s="623"/>
      <c r="G73" s="623"/>
      <c r="H73" s="623"/>
      <c r="I73" s="623"/>
      <c r="J73" s="623"/>
      <c r="K73" s="623"/>
      <c r="L73" s="623"/>
      <c r="M73" s="623"/>
      <c r="N73" s="623"/>
      <c r="O73" s="623"/>
      <c r="P73" s="623"/>
      <c r="Q73" s="623"/>
      <c r="R73" s="747">
        <f t="shared" ref="R73:R81" si="44">IF(COUNTIF(E73:Q73,"")&gt;10,R50,AVERAGE(E73:Q73))</f>
        <v>6.1307692307692312</v>
      </c>
      <c r="S73" s="748">
        <f t="shared" ref="S73:S81" si="45">IF(COUNTIF(E73:Q73,"")&gt;10,S50,STDEV(E73:Q73))</f>
        <v>0.10154707053396356</v>
      </c>
      <c r="T73" s="747">
        <f>R73-$S$273*S73</f>
        <v>6.1307692307692312</v>
      </c>
      <c r="U73" s="749" t="s">
        <v>35</v>
      </c>
      <c r="V73" s="750">
        <f>R73+$S$473*S73</f>
        <v>6.1307692307692312</v>
      </c>
      <c r="W73" s="606"/>
    </row>
    <row r="74" spans="1:23" ht="13.75" customHeight="1">
      <c r="A74" s="606"/>
      <c r="B74" s="139"/>
      <c r="C74" s="139"/>
      <c r="D74" s="744">
        <f t="shared" ref="D74:D85" si="46">D51</f>
        <v>0.39583333333333331</v>
      </c>
      <c r="E74" s="623"/>
      <c r="F74" s="623"/>
      <c r="G74" s="623"/>
      <c r="H74" s="623"/>
      <c r="I74" s="623"/>
      <c r="J74" s="623"/>
      <c r="K74" s="623"/>
      <c r="L74" s="623"/>
      <c r="M74" s="623"/>
      <c r="N74" s="623"/>
      <c r="O74" s="623"/>
      <c r="P74" s="623"/>
      <c r="Q74" s="623"/>
      <c r="R74" s="747">
        <f t="shared" si="44"/>
        <v>9.8546296296296294</v>
      </c>
      <c r="S74" s="748">
        <f t="shared" si="45"/>
        <v>1.1032597179438779</v>
      </c>
      <c r="T74" s="747">
        <f t="shared" ref="T74:T81" si="47">R74-$S$273*S74</f>
        <v>9.8546296296296294</v>
      </c>
      <c r="U74" s="749" t="s">
        <v>35</v>
      </c>
      <c r="V74" s="750">
        <f t="shared" ref="V74:V81" si="48">R74+$S$473*S74</f>
        <v>9.8546296296296294</v>
      </c>
      <c r="W74" s="606"/>
    </row>
    <row r="75" spans="1:23" ht="13.75" customHeight="1">
      <c r="A75" s="606"/>
      <c r="B75" s="139"/>
      <c r="C75" s="139"/>
      <c r="D75" s="744">
        <f t="shared" si="46"/>
        <v>0.5</v>
      </c>
      <c r="E75" s="623"/>
      <c r="F75" s="623"/>
      <c r="G75" s="623"/>
      <c r="H75" s="623"/>
      <c r="I75" s="623"/>
      <c r="J75" s="623"/>
      <c r="K75" s="623"/>
      <c r="L75" s="623"/>
      <c r="M75" s="623"/>
      <c r="N75" s="623"/>
      <c r="O75" s="623"/>
      <c r="P75" s="623"/>
      <c r="Q75" s="623"/>
      <c r="R75" s="747">
        <f t="shared" si="44"/>
        <v>7.3435897435897441</v>
      </c>
      <c r="S75" s="748">
        <f t="shared" si="45"/>
        <v>1.630246904590587</v>
      </c>
      <c r="T75" s="747">
        <f t="shared" si="47"/>
        <v>7.3435897435897441</v>
      </c>
      <c r="U75" s="749" t="s">
        <v>35</v>
      </c>
      <c r="V75" s="750">
        <f t="shared" si="48"/>
        <v>7.3435897435897441</v>
      </c>
      <c r="W75" s="606"/>
    </row>
    <row r="76" spans="1:23" ht="13.75" customHeight="1">
      <c r="A76" s="606"/>
      <c r="B76" s="139"/>
      <c r="C76" s="139"/>
      <c r="D76" s="744">
        <f t="shared" si="46"/>
        <v>0.60416666666666663</v>
      </c>
      <c r="E76" s="623"/>
      <c r="F76" s="623"/>
      <c r="G76" s="623"/>
      <c r="H76" s="623"/>
      <c r="I76" s="623"/>
      <c r="J76" s="623"/>
      <c r="K76" s="623"/>
      <c r="L76" s="623"/>
      <c r="M76" s="623"/>
      <c r="N76" s="623"/>
      <c r="O76" s="623"/>
      <c r="P76" s="623"/>
      <c r="Q76" s="623"/>
      <c r="R76" s="747">
        <f t="shared" si="44"/>
        <v>7.0808080808080822</v>
      </c>
      <c r="S76" s="748">
        <f t="shared" si="45"/>
        <v>2.0484507298973624</v>
      </c>
      <c r="T76" s="747">
        <f t="shared" si="47"/>
        <v>7.0808080808080822</v>
      </c>
      <c r="U76" s="749" t="s">
        <v>35</v>
      </c>
      <c r="V76" s="750">
        <f t="shared" si="48"/>
        <v>7.0808080808080822</v>
      </c>
      <c r="W76" s="606"/>
    </row>
    <row r="77" spans="1:23" ht="13.75" customHeight="1">
      <c r="A77" s="606"/>
      <c r="B77" s="139"/>
      <c r="C77" s="139"/>
      <c r="D77" s="744">
        <f t="shared" si="46"/>
        <v>0.72916666666666663</v>
      </c>
      <c r="E77" s="623"/>
      <c r="F77" s="623"/>
      <c r="G77" s="623"/>
      <c r="H77" s="623"/>
      <c r="I77" s="623"/>
      <c r="J77" s="623"/>
      <c r="K77" s="623"/>
      <c r="L77" s="623"/>
      <c r="M77" s="623"/>
      <c r="N77" s="623"/>
      <c r="O77" s="623"/>
      <c r="P77" s="623"/>
      <c r="Q77" s="623"/>
      <c r="R77" s="747">
        <f t="shared" si="44"/>
        <v>7.0931623931623937</v>
      </c>
      <c r="S77" s="748">
        <f t="shared" si="45"/>
        <v>1.6066255467148352</v>
      </c>
      <c r="T77" s="747">
        <f t="shared" si="47"/>
        <v>7.0931623931623937</v>
      </c>
      <c r="U77" s="749" t="s">
        <v>35</v>
      </c>
      <c r="V77" s="750">
        <f t="shared" si="48"/>
        <v>7.0931623931623937</v>
      </c>
      <c r="W77" s="606"/>
    </row>
    <row r="78" spans="1:23" ht="13.75" customHeight="1">
      <c r="A78" s="606"/>
      <c r="B78" s="139"/>
      <c r="C78" s="139"/>
      <c r="D78" s="744">
        <f t="shared" si="46"/>
        <v>0.83333333333333337</v>
      </c>
      <c r="E78" s="623"/>
      <c r="F78" s="623"/>
      <c r="G78" s="623"/>
      <c r="H78" s="623"/>
      <c r="I78" s="623"/>
      <c r="J78" s="623"/>
      <c r="K78" s="623"/>
      <c r="L78" s="623"/>
      <c r="M78" s="623"/>
      <c r="N78" s="623"/>
      <c r="O78" s="623"/>
      <c r="P78" s="623"/>
      <c r="Q78" s="623"/>
      <c r="R78" s="747">
        <f t="shared" si="44"/>
        <v>9.2518518518518515</v>
      </c>
      <c r="S78" s="748">
        <f t="shared" si="45"/>
        <v>2.3790298475089724</v>
      </c>
      <c r="T78" s="747">
        <f t="shared" si="47"/>
        <v>9.2518518518518515</v>
      </c>
      <c r="U78" s="749" t="s">
        <v>35</v>
      </c>
      <c r="V78" s="750">
        <f t="shared" si="48"/>
        <v>9.2518518518518515</v>
      </c>
      <c r="W78" s="606"/>
    </row>
    <row r="79" spans="1:23" ht="13.75" customHeight="1">
      <c r="A79" s="606"/>
      <c r="B79" s="139"/>
      <c r="C79" s="139"/>
      <c r="D79" s="744">
        <f t="shared" si="46"/>
        <v>0.95833333333333337</v>
      </c>
      <c r="E79" s="623"/>
      <c r="F79" s="623"/>
      <c r="G79" s="623"/>
      <c r="H79" s="623"/>
      <c r="I79" s="623"/>
      <c r="J79" s="623"/>
      <c r="K79" s="623"/>
      <c r="L79" s="623"/>
      <c r="M79" s="623"/>
      <c r="N79" s="623"/>
      <c r="O79" s="623"/>
      <c r="P79" s="623"/>
      <c r="Q79" s="623"/>
      <c r="R79" s="747">
        <f t="shared" si="44"/>
        <v>7.9305555555555545</v>
      </c>
      <c r="S79" s="748">
        <f t="shared" si="45"/>
        <v>1.600982617741999</v>
      </c>
      <c r="T79" s="747">
        <f t="shared" si="47"/>
        <v>7.9305555555555545</v>
      </c>
      <c r="U79" s="749" t="s">
        <v>35</v>
      </c>
      <c r="V79" s="750">
        <f t="shared" si="48"/>
        <v>7.9305555555555545</v>
      </c>
      <c r="W79" s="606"/>
    </row>
    <row r="80" spans="1:23" ht="13.75" customHeight="1">
      <c r="A80" s="606"/>
      <c r="B80" s="139"/>
      <c r="C80" s="139"/>
      <c r="D80" s="744" t="str">
        <f t="shared" si="46"/>
        <v>Nacht</v>
      </c>
      <c r="E80" s="623"/>
      <c r="F80" s="623"/>
      <c r="G80" s="623"/>
      <c r="H80" s="623"/>
      <c r="I80" s="623"/>
      <c r="J80" s="623"/>
      <c r="K80" s="623"/>
      <c r="L80" s="623"/>
      <c r="M80" s="623"/>
      <c r="N80" s="623"/>
      <c r="O80" s="623"/>
      <c r="P80" s="623"/>
      <c r="Q80" s="623"/>
      <c r="R80" s="747">
        <f t="shared" si="44"/>
        <v>6.1037037037037036</v>
      </c>
      <c r="S80" s="748">
        <f t="shared" si="45"/>
        <v>0.47022055462969597</v>
      </c>
      <c r="T80" s="747">
        <f t="shared" si="47"/>
        <v>6.1037037037037036</v>
      </c>
      <c r="U80" s="749" t="s">
        <v>35</v>
      </c>
      <c r="V80" s="750">
        <f t="shared" si="48"/>
        <v>6.1037037037037036</v>
      </c>
      <c r="W80" s="606"/>
    </row>
    <row r="81" spans="1:26" ht="13.75" customHeight="1">
      <c r="A81" s="606"/>
      <c r="B81" s="139"/>
      <c r="C81" s="139"/>
      <c r="D81" s="744" t="str">
        <f t="shared" si="46"/>
        <v>Früh</v>
      </c>
      <c r="E81" s="623"/>
      <c r="F81" s="623"/>
      <c r="G81" s="623"/>
      <c r="H81" s="623"/>
      <c r="I81" s="623"/>
      <c r="J81" s="623"/>
      <c r="K81" s="623"/>
      <c r="L81" s="623"/>
      <c r="M81" s="623"/>
      <c r="N81" s="623"/>
      <c r="O81" s="623"/>
      <c r="P81" s="623"/>
      <c r="Q81" s="623"/>
      <c r="R81" s="747">
        <f t="shared" si="44"/>
        <v>6.1333333333333337</v>
      </c>
      <c r="S81" s="748">
        <f t="shared" si="45"/>
        <v>0.10957268290731126</v>
      </c>
      <c r="T81" s="747">
        <f t="shared" si="47"/>
        <v>6.1333333333333337</v>
      </c>
      <c r="U81" s="749" t="s">
        <v>35</v>
      </c>
      <c r="V81" s="750">
        <f t="shared" si="48"/>
        <v>6.1333333333333337</v>
      </c>
      <c r="W81" s="606"/>
    </row>
    <row r="82" spans="1:26" ht="13.75" customHeight="1">
      <c r="A82" s="606"/>
      <c r="B82" s="139"/>
      <c r="C82" s="139"/>
      <c r="D82" s="751" t="str">
        <f t="shared" si="46"/>
        <v>Datum</v>
      </c>
      <c r="E82" s="752">
        <f>V88</f>
        <v>41547</v>
      </c>
      <c r="F82" s="753">
        <f>E82+$V$89</f>
        <v>41554</v>
      </c>
      <c r="G82" s="753">
        <f t="shared" ref="G82:Q82" si="49">F82+$V$89</f>
        <v>41561</v>
      </c>
      <c r="H82" s="753">
        <f>G82+$V$89</f>
        <v>41568</v>
      </c>
      <c r="I82" s="753">
        <f>H82+$V$89</f>
        <v>41575</v>
      </c>
      <c r="J82" s="753">
        <f t="shared" si="49"/>
        <v>41582</v>
      </c>
      <c r="K82" s="753">
        <f>J82+$V$89</f>
        <v>41589</v>
      </c>
      <c r="L82" s="753">
        <f>K82+$V$89</f>
        <v>41596</v>
      </c>
      <c r="M82" s="753">
        <f>L82+$V$89</f>
        <v>41603</v>
      </c>
      <c r="N82" s="753">
        <f t="shared" si="49"/>
        <v>41610</v>
      </c>
      <c r="O82" s="753">
        <f t="shared" si="49"/>
        <v>41617</v>
      </c>
      <c r="P82" s="753">
        <f t="shared" si="49"/>
        <v>41624</v>
      </c>
      <c r="Q82" s="753">
        <f t="shared" si="49"/>
        <v>41631</v>
      </c>
      <c r="R82" s="754"/>
      <c r="S82" s="755">
        <f>(AVERAGE('(intern)'!AO4:BA12)+(86/18)/33.3)</f>
        <v>7.0231521681517348</v>
      </c>
      <c r="T82" s="756" t="s">
        <v>33</v>
      </c>
      <c r="U82" s="757"/>
      <c r="V82" s="758"/>
      <c r="W82" s="606"/>
    </row>
    <row r="83" spans="1:26" ht="13.75" customHeight="1">
      <c r="A83" s="606"/>
      <c r="B83" s="139"/>
      <c r="C83" s="139"/>
      <c r="D83" s="759" t="str">
        <f t="shared" si="46"/>
        <v>Tagesminimum</v>
      </c>
      <c r="E83" s="760" t="str">
        <f t="shared" ref="E83:L83" si="50">IF(MIN(E73:E81)=0,"-",MIN(E73:E81))</f>
        <v>-</v>
      </c>
      <c r="F83" s="760" t="str">
        <f t="shared" si="50"/>
        <v>-</v>
      </c>
      <c r="G83" s="760" t="str">
        <f t="shared" si="50"/>
        <v>-</v>
      </c>
      <c r="H83" s="760" t="str">
        <f t="shared" si="50"/>
        <v>-</v>
      </c>
      <c r="I83" s="760" t="str">
        <f t="shared" si="50"/>
        <v>-</v>
      </c>
      <c r="J83" s="760" t="str">
        <f t="shared" si="50"/>
        <v>-</v>
      </c>
      <c r="K83" s="760" t="str">
        <f t="shared" si="50"/>
        <v>-</v>
      </c>
      <c r="L83" s="760" t="str">
        <f t="shared" si="50"/>
        <v>-</v>
      </c>
      <c r="M83" s="760" t="str">
        <f>IF(MIN(M73:M81)=0,"-",MIN(M73:M81))</f>
        <v>-</v>
      </c>
      <c r="N83" s="760" t="str">
        <f>IF(MIN(N73:N81)=0,"-",MIN(N73:N81))</f>
        <v>-</v>
      </c>
      <c r="O83" s="760" t="str">
        <f>IF(MIN(O73:O81)=0,"-",MIN(O73:O81))</f>
        <v>-</v>
      </c>
      <c r="P83" s="760" t="str">
        <f>IF(MIN(P73:P81)=0,"-",MIN(P73:P81))</f>
        <v>-</v>
      </c>
      <c r="Q83" s="760" t="str">
        <f>IF(MIN(Q73:Q81)=0,"-",MIN(Q73:Q81))</f>
        <v>-</v>
      </c>
      <c r="R83" s="761" t="s">
        <v>17</v>
      </c>
      <c r="S83" s="762">
        <f>(AVERAGE('(intern)'!AO4:AR12)+(86/18)/33.3)</f>
        <v>7.0231521714262222</v>
      </c>
      <c r="T83" s="763" t="s">
        <v>19</v>
      </c>
      <c r="U83" s="764" t="s">
        <v>20</v>
      </c>
      <c r="V83" s="765"/>
      <c r="W83" s="606"/>
    </row>
    <row r="84" spans="1:26" ht="13.75" customHeight="1">
      <c r="A84" s="606"/>
      <c r="B84" s="139"/>
      <c r="C84" s="139"/>
      <c r="D84" s="766" t="str">
        <f t="shared" si="46"/>
        <v>Tagesmaximum</v>
      </c>
      <c r="E84" s="760" t="str">
        <f>IF(MAX(E73:E81)=0,"-",MAX(E73:E81))</f>
        <v>-</v>
      </c>
      <c r="F84" s="760" t="str">
        <f t="shared" ref="F84:K84" si="51">IF(MAX(F73:F81)=0,"-",MAX(F73:F81))</f>
        <v>-</v>
      </c>
      <c r="G84" s="760" t="str">
        <f t="shared" si="51"/>
        <v>-</v>
      </c>
      <c r="H84" s="760" t="str">
        <f t="shared" si="51"/>
        <v>-</v>
      </c>
      <c r="I84" s="760" t="str">
        <f t="shared" si="51"/>
        <v>-</v>
      </c>
      <c r="J84" s="760" t="str">
        <f t="shared" si="51"/>
        <v>-</v>
      </c>
      <c r="K84" s="760" t="str">
        <f t="shared" si="51"/>
        <v>-</v>
      </c>
      <c r="L84" s="760" t="str">
        <f t="shared" ref="L84:Q84" si="52">IF(MAX(L73:L81)=0,"-",MAX(L73:L81))</f>
        <v>-</v>
      </c>
      <c r="M84" s="760" t="str">
        <f t="shared" si="52"/>
        <v>-</v>
      </c>
      <c r="N84" s="760" t="str">
        <f t="shared" si="52"/>
        <v>-</v>
      </c>
      <c r="O84" s="760" t="str">
        <f t="shared" si="52"/>
        <v>-</v>
      </c>
      <c r="P84" s="760" t="str">
        <f t="shared" si="52"/>
        <v>-</v>
      </c>
      <c r="Q84" s="760" t="str">
        <f t="shared" si="52"/>
        <v>-</v>
      </c>
      <c r="R84" s="756"/>
      <c r="S84" s="767">
        <f>(AVERAGE('(intern)'!AR4:AU12)+(86/18)/33.3)</f>
        <v>7.0231521706586806</v>
      </c>
      <c r="T84" s="768" t="s">
        <v>19</v>
      </c>
      <c r="U84" s="757"/>
      <c r="V84" s="139"/>
      <c r="W84" s="606"/>
    </row>
    <row r="85" spans="1:26" ht="13.75" customHeight="1">
      <c r="A85" s="606"/>
      <c r="B85" s="139"/>
      <c r="C85" s="139"/>
      <c r="D85" s="744" t="str">
        <f t="shared" si="46"/>
        <v>Tagesmittelwert</v>
      </c>
      <c r="E85" s="769">
        <f>IF(E84="-",R62,AVERAGE(E73:E81))</f>
        <v>7.2141025641025642</v>
      </c>
      <c r="F85" s="769">
        <f>IF(F84="-",E85,AVERAGE(F73:F81))</f>
        <v>7.2141025641025642</v>
      </c>
      <c r="G85" s="769">
        <f t="shared" ref="G85:Q85" si="53">IF(G84="-",F85,AVERAGE(G73:G81))</f>
        <v>7.2141025641025642</v>
      </c>
      <c r="H85" s="769">
        <f>IF(H84="-",G85,AVERAGE(H73:H81))</f>
        <v>7.2141025641025642</v>
      </c>
      <c r="I85" s="769">
        <f>IF(I84="-",H85,AVERAGE(I73:I81))</f>
        <v>7.2141025641025642</v>
      </c>
      <c r="J85" s="769">
        <f t="shared" si="53"/>
        <v>7.2141025641025642</v>
      </c>
      <c r="K85" s="769">
        <f t="shared" ref="K85:P85" si="54">IF(K84="-",J85,AVERAGE(K73:K81))</f>
        <v>7.2141025641025642</v>
      </c>
      <c r="L85" s="769">
        <f>IF(L84="-",K85,AVERAGE(L73:L81))</f>
        <v>7.2141025641025642</v>
      </c>
      <c r="M85" s="769">
        <f>IF(M84="-",L85,AVERAGE(M73:M81))</f>
        <v>7.2141025641025642</v>
      </c>
      <c r="N85" s="769">
        <f t="shared" si="54"/>
        <v>7.2141025641025642</v>
      </c>
      <c r="O85" s="769">
        <f t="shared" si="54"/>
        <v>7.2141025641025642</v>
      </c>
      <c r="P85" s="769">
        <f t="shared" si="54"/>
        <v>7.2141025641025642</v>
      </c>
      <c r="Q85" s="769">
        <f t="shared" si="53"/>
        <v>7.2141025641025642</v>
      </c>
      <c r="R85" s="770">
        <f>AVERAGE(E85:Q85)</f>
        <v>7.2141025641025616</v>
      </c>
      <c r="S85" s="771">
        <f>(AVERAGE('(intern)'!AU4:BA12)+(86/18)/33.3)</f>
        <v>7.0231521656739719</v>
      </c>
      <c r="T85" s="772" t="s">
        <v>19</v>
      </c>
      <c r="U85" s="757"/>
      <c r="V85" s="139"/>
      <c r="W85" s="606"/>
    </row>
    <row r="86" spans="1:26" ht="13.75" customHeight="1" thickBot="1">
      <c r="A86" s="606"/>
      <c r="B86" s="139"/>
      <c r="C86" s="139"/>
      <c r="D86" s="773"/>
      <c r="E86" s="774">
        <f>WEEKDAY(E82)</f>
        <v>1</v>
      </c>
      <c r="F86" s="775">
        <f t="shared" ref="F86:Q86" si="55">WEEKDAY(F82)</f>
        <v>1</v>
      </c>
      <c r="G86" s="775">
        <f t="shared" si="55"/>
        <v>1</v>
      </c>
      <c r="H86" s="775">
        <f t="shared" si="55"/>
        <v>1</v>
      </c>
      <c r="I86" s="775">
        <f t="shared" si="55"/>
        <v>1</v>
      </c>
      <c r="J86" s="775">
        <f t="shared" si="55"/>
        <v>1</v>
      </c>
      <c r="K86" s="775">
        <f t="shared" si="55"/>
        <v>1</v>
      </c>
      <c r="L86" s="775">
        <f t="shared" si="55"/>
        <v>1</v>
      </c>
      <c r="M86" s="775">
        <f t="shared" si="55"/>
        <v>1</v>
      </c>
      <c r="N86" s="775">
        <f t="shared" si="55"/>
        <v>1</v>
      </c>
      <c r="O86" s="775">
        <f t="shared" si="55"/>
        <v>1</v>
      </c>
      <c r="P86" s="775">
        <f t="shared" si="55"/>
        <v>1</v>
      </c>
      <c r="Q86" s="775">
        <f t="shared" si="55"/>
        <v>1</v>
      </c>
      <c r="R86" s="776"/>
      <c r="S86" s="777"/>
      <c r="T86" s="778"/>
      <c r="U86" s="757"/>
      <c r="V86" s="139"/>
      <c r="W86" s="606"/>
    </row>
    <row r="87" spans="1:26" ht="28" customHeight="1">
      <c r="A87" s="606"/>
      <c r="B87" s="1375" t="s">
        <v>84</v>
      </c>
      <c r="C87" s="1376"/>
      <c r="D87" s="952" t="str">
        <f t="shared" ref="D87:D92" si="56">D64</f>
        <v>I.E. / Basal</v>
      </c>
      <c r="E87" s="575" t="s">
        <v>167</v>
      </c>
      <c r="F87" s="575" t="s">
        <v>167</v>
      </c>
      <c r="G87" s="575" t="s">
        <v>167</v>
      </c>
      <c r="H87" s="575" t="s">
        <v>167</v>
      </c>
      <c r="I87" s="575" t="s">
        <v>167</v>
      </c>
      <c r="J87" s="575" t="s">
        <v>167</v>
      </c>
      <c r="K87" s="575" t="s">
        <v>167</v>
      </c>
      <c r="L87" s="575" t="s">
        <v>167</v>
      </c>
      <c r="M87" s="575" t="s">
        <v>167</v>
      </c>
      <c r="N87" s="575" t="s">
        <v>167</v>
      </c>
      <c r="O87" s="575" t="s">
        <v>167</v>
      </c>
      <c r="P87" s="575" t="s">
        <v>167</v>
      </c>
      <c r="Q87" s="575" t="s">
        <v>167</v>
      </c>
      <c r="R87" s="1377" t="s">
        <v>57</v>
      </c>
      <c r="S87" s="1378"/>
      <c r="T87" s="1340" t="s">
        <v>43</v>
      </c>
      <c r="U87" s="1340"/>
      <c r="V87" s="1587">
        <v>1</v>
      </c>
      <c r="W87" s="606"/>
    </row>
    <row r="88" spans="1:26" ht="28" customHeight="1">
      <c r="A88" s="606"/>
      <c r="B88" s="779"/>
      <c r="C88" s="779"/>
      <c r="D88" s="953" t="str">
        <f t="shared" si="56"/>
        <v>BE</v>
      </c>
      <c r="E88" s="1136" t="s">
        <v>157</v>
      </c>
      <c r="F88" s="1136" t="s">
        <v>157</v>
      </c>
      <c r="G88" s="1136" t="s">
        <v>157</v>
      </c>
      <c r="H88" s="1136" t="s">
        <v>157</v>
      </c>
      <c r="I88" s="1136" t="s">
        <v>157</v>
      </c>
      <c r="J88" s="1136" t="s">
        <v>157</v>
      </c>
      <c r="K88" s="1136" t="s">
        <v>157</v>
      </c>
      <c r="L88" s="1136" t="s">
        <v>157</v>
      </c>
      <c r="M88" s="1136" t="s">
        <v>157</v>
      </c>
      <c r="N88" s="1136" t="s">
        <v>157</v>
      </c>
      <c r="O88" s="1136" t="s">
        <v>157</v>
      </c>
      <c r="P88" s="1136" t="s">
        <v>157</v>
      </c>
      <c r="Q88" s="1136" t="s">
        <v>157</v>
      </c>
      <c r="R88" s="1379"/>
      <c r="S88" s="1380"/>
      <c r="T88" s="1337" t="s">
        <v>85</v>
      </c>
      <c r="U88" s="1337"/>
      <c r="V88" s="132">
        <f>Q59+V66</f>
        <v>41547</v>
      </c>
      <c r="W88" s="606"/>
    </row>
    <row r="89" spans="1:26" ht="28" customHeight="1" thickBot="1">
      <c r="A89" s="606"/>
      <c r="B89" s="779"/>
      <c r="C89" s="779"/>
      <c r="D89" s="953" t="str">
        <f t="shared" si="56"/>
        <v>Sport</v>
      </c>
      <c r="E89" s="511"/>
      <c r="F89" s="511"/>
      <c r="G89" s="517"/>
      <c r="H89" s="511"/>
      <c r="I89" s="511"/>
      <c r="J89" s="360"/>
      <c r="K89" s="511"/>
      <c r="L89" s="548"/>
      <c r="M89" s="191"/>
      <c r="N89" s="191"/>
      <c r="O89" s="191"/>
      <c r="P89" s="191"/>
      <c r="Q89" s="304"/>
      <c r="R89" s="1381"/>
      <c r="S89" s="1382"/>
      <c r="T89" s="1338" t="s">
        <v>27</v>
      </c>
      <c r="U89" s="1338"/>
      <c r="V89" s="580">
        <f>V66</f>
        <v>7</v>
      </c>
      <c r="W89" s="606"/>
    </row>
    <row r="90" spans="1:26" ht="28" customHeight="1" thickBot="1">
      <c r="A90" s="606"/>
      <c r="B90" s="779"/>
      <c r="C90" s="779"/>
      <c r="D90" s="953" t="str">
        <f t="shared" si="56"/>
        <v>Krankheit</v>
      </c>
      <c r="E90" s="511"/>
      <c r="F90" s="359"/>
      <c r="G90" s="359"/>
      <c r="H90" s="360"/>
      <c r="I90" s="360"/>
      <c r="J90" s="360"/>
      <c r="K90" s="526"/>
      <c r="L90" s="526"/>
      <c r="M90" s="191"/>
      <c r="N90" s="191"/>
      <c r="O90" s="191"/>
      <c r="P90" s="191"/>
      <c r="Q90" s="191"/>
      <c r="R90" s="358"/>
      <c r="S90" s="139"/>
      <c r="T90" s="139"/>
      <c r="U90" s="140"/>
      <c r="V90" s="141"/>
      <c r="W90" s="606"/>
    </row>
    <row r="91" spans="1:26" ht="28" customHeight="1">
      <c r="A91" s="606"/>
      <c r="B91" s="779"/>
      <c r="C91" s="779"/>
      <c r="D91" s="953" t="str">
        <f t="shared" si="56"/>
        <v>Besonderheiten</v>
      </c>
      <c r="E91" s="511"/>
      <c r="F91" s="517"/>
      <c r="G91" s="517"/>
      <c r="H91" s="517"/>
      <c r="I91" s="517"/>
      <c r="J91" s="450"/>
      <c r="K91" s="511"/>
      <c r="L91" s="527"/>
      <c r="M91" s="450"/>
      <c r="N91" s="450"/>
      <c r="O91" s="450"/>
      <c r="P91" s="450"/>
      <c r="Q91" s="450"/>
      <c r="R91" s="138"/>
      <c r="S91" s="142" t="s">
        <v>170</v>
      </c>
      <c r="T91" s="1339" t="s">
        <v>59</v>
      </c>
      <c r="U91" s="1340"/>
      <c r="V91" s="1590">
        <v>7.1</v>
      </c>
      <c r="W91" s="606"/>
    </row>
    <row r="92" spans="1:26" ht="28" customHeight="1">
      <c r="A92" s="606"/>
      <c r="B92" s="779"/>
      <c r="C92" s="779"/>
      <c r="D92" s="953" t="str">
        <f t="shared" si="56"/>
        <v>Sonstiges</v>
      </c>
      <c r="E92" s="388"/>
      <c r="F92" s="525"/>
      <c r="G92" s="388"/>
      <c r="H92" s="1105"/>
      <c r="I92" s="1105"/>
      <c r="J92" s="388"/>
      <c r="K92" s="388"/>
      <c r="L92" s="549"/>
      <c r="M92" s="388"/>
      <c r="N92" s="388"/>
      <c r="O92" s="388"/>
      <c r="P92" s="388"/>
      <c r="Q92" s="388"/>
      <c r="R92" s="138"/>
      <c r="S92" s="140"/>
      <c r="T92" s="1345" t="s">
        <v>47</v>
      </c>
      <c r="U92" s="1346"/>
      <c r="V92" s="1279">
        <f>V91</f>
        <v>7.1</v>
      </c>
      <c r="W92" s="606"/>
    </row>
    <row r="93" spans="1:26" ht="14" thickBot="1">
      <c r="A93" s="780"/>
      <c r="B93" s="780"/>
      <c r="C93" s="780"/>
      <c r="D93" s="780"/>
      <c r="E93" s="780"/>
      <c r="F93" s="780"/>
      <c r="G93" s="780"/>
      <c r="H93" s="780"/>
      <c r="I93" s="780"/>
      <c r="J93" s="780"/>
      <c r="K93" s="780"/>
      <c r="L93" s="780"/>
      <c r="M93" s="780"/>
      <c r="N93" s="780"/>
      <c r="O93" s="780"/>
      <c r="P93" s="780"/>
      <c r="Q93" s="780"/>
      <c r="R93" s="780"/>
      <c r="S93" s="780"/>
      <c r="T93" s="780"/>
      <c r="U93" s="781"/>
      <c r="V93" s="780"/>
      <c r="W93" s="780"/>
      <c r="Z93" s="1292"/>
    </row>
    <row r="94" spans="1:26">
      <c r="A94" s="606"/>
      <c r="B94" s="606"/>
      <c r="C94" s="606"/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7"/>
      <c r="V94" s="606"/>
      <c r="W94" s="606"/>
    </row>
    <row r="95" spans="1:26" ht="14" thickBot="1">
      <c r="A95" s="606"/>
      <c r="B95" s="606"/>
      <c r="C95" s="606"/>
      <c r="D95" s="782" t="s">
        <v>28</v>
      </c>
      <c r="E95" s="949">
        <f>WEEKNUM(E106,1)</f>
        <v>1</v>
      </c>
      <c r="F95" s="949">
        <f t="shared" ref="F95:Q95" si="57">WEEKNUM(F106,1)</f>
        <v>1</v>
      </c>
      <c r="G95" s="949">
        <f t="shared" si="57"/>
        <v>2</v>
      </c>
      <c r="H95" s="949">
        <f t="shared" si="57"/>
        <v>2</v>
      </c>
      <c r="I95" s="949">
        <f t="shared" si="57"/>
        <v>3</v>
      </c>
      <c r="J95" s="949">
        <f t="shared" si="57"/>
        <v>3</v>
      </c>
      <c r="K95" s="950">
        <f>WEEKNUM(K106,1)</f>
        <v>4</v>
      </c>
      <c r="L95" s="949">
        <f t="shared" si="57"/>
        <v>4</v>
      </c>
      <c r="M95" s="949">
        <f t="shared" si="57"/>
        <v>5</v>
      </c>
      <c r="N95" s="949">
        <f t="shared" si="57"/>
        <v>5</v>
      </c>
      <c r="O95" s="951">
        <f t="shared" si="57"/>
        <v>6</v>
      </c>
      <c r="P95" s="951">
        <f t="shared" si="57"/>
        <v>7</v>
      </c>
      <c r="Q95" s="951">
        <f t="shared" si="57"/>
        <v>8</v>
      </c>
      <c r="R95" s="606"/>
      <c r="S95" s="606"/>
      <c r="T95" s="606"/>
      <c r="U95" s="607"/>
      <c r="V95" s="606"/>
      <c r="W95" s="606"/>
    </row>
    <row r="96" spans="1:26" ht="15" thickTop="1" thickBot="1">
      <c r="A96" s="606"/>
      <c r="B96" s="1351" t="s">
        <v>60</v>
      </c>
      <c r="C96" s="1352"/>
      <c r="D96" s="783" t="str">
        <f>D72</f>
        <v>Glucose [mg/dl]</v>
      </c>
      <c r="E96" s="1147" t="str">
        <f>IF(E110=2,"MO",IF(E110=3,"DI",IF(E110=4,"MI",IF(E110=5,"DO",IF(E110=6,"FR",IF(E110=7,"SA","SO"))))))</f>
        <v>SO</v>
      </c>
      <c r="F96" s="784" t="str">
        <f t="shared" ref="F96:Q96" si="58">IF(F110=2,"MO",IF(F110=3,"DI",IF(F110=4,"MI",IF(F110=5,"DO",IF(F110=6,"FR",IF(F110=7,"SA","SO"))))))</f>
        <v>MI</v>
      </c>
      <c r="G96" s="784" t="str">
        <f t="shared" si="58"/>
        <v>SO</v>
      </c>
      <c r="H96" s="784" t="str">
        <f t="shared" si="58"/>
        <v>MI</v>
      </c>
      <c r="I96" s="784" t="str">
        <f t="shared" si="58"/>
        <v>SO</v>
      </c>
      <c r="J96" s="784" t="str">
        <f t="shared" si="58"/>
        <v>MI</v>
      </c>
      <c r="K96" s="785" t="str">
        <f>IF(K110=2,"MO",IF(K110=3,"DI",IF(K110=4,"MI",IF(K110=5,"DO",IF(K110=6,"FR",IF(K110=7,"SA","SO"))))))</f>
        <v>SO</v>
      </c>
      <c r="L96" s="784" t="str">
        <f t="shared" si="58"/>
        <v>MI</v>
      </c>
      <c r="M96" s="784" t="str">
        <f t="shared" si="58"/>
        <v>SO</v>
      </c>
      <c r="N96" s="784" t="str">
        <f t="shared" si="58"/>
        <v>MI</v>
      </c>
      <c r="O96" s="786" t="str">
        <f>IF(O110=2,"MO",IF(O110=3,"DI",IF(O110=4,"MI",IF(O110=5,"DO",IF(O110=6,"FR",IF(O110=7,"SA","SO"))))))</f>
        <v>MI</v>
      </c>
      <c r="P96" s="786" t="str">
        <f t="shared" si="58"/>
        <v>MI</v>
      </c>
      <c r="Q96" s="786" t="str">
        <f t="shared" si="58"/>
        <v>MI</v>
      </c>
      <c r="R96" s="787" t="s">
        <v>51</v>
      </c>
      <c r="S96" s="788" t="s">
        <v>22</v>
      </c>
      <c r="T96" s="1367" t="str">
        <f>CONCATENATE("±",V96,"σ")</f>
        <v>±0,674σ</v>
      </c>
      <c r="U96" s="1368"/>
      <c r="V96" s="1073">
        <v>0.67400000000000004</v>
      </c>
      <c r="W96" s="606"/>
    </row>
    <row r="97" spans="1:24" ht="14" thickTop="1">
      <c r="A97" s="606"/>
      <c r="B97" s="615">
        <v>5.5</v>
      </c>
      <c r="C97" s="616"/>
      <c r="D97" s="789">
        <f>D73</f>
        <v>0.29166666666666669</v>
      </c>
      <c r="E97" s="1234">
        <v>6.2777777777777777</v>
      </c>
      <c r="F97" s="1234">
        <v>6.2222222222222223</v>
      </c>
      <c r="G97" s="1234">
        <v>6.2</v>
      </c>
      <c r="H97" s="1252">
        <v>6.1</v>
      </c>
      <c r="I97" s="1234">
        <v>6</v>
      </c>
      <c r="J97" s="1234">
        <v>6.2</v>
      </c>
      <c r="K97" s="1234">
        <v>6</v>
      </c>
      <c r="L97" s="1234">
        <v>6.2</v>
      </c>
      <c r="M97" s="1234">
        <v>6.2</v>
      </c>
      <c r="N97" s="1234">
        <v>5.9</v>
      </c>
      <c r="O97" s="790"/>
      <c r="P97" s="790"/>
      <c r="Q97" s="790"/>
      <c r="R97" s="791">
        <f t="shared" ref="R97:R105" si="59">IF(COUNTIF(E97:Q97,"")&gt;10,B97,AVERAGE(E97:Q97))</f>
        <v>6.1300000000000008</v>
      </c>
      <c r="S97" s="792">
        <f>IF(COUNTIF(E97:Q97,"")&gt;10,2.2,STDEV(E97:Q97))</f>
        <v>0.12362272798790465</v>
      </c>
      <c r="T97" s="791">
        <f>R97-$V$96*S97</f>
        <v>6.0466782813361526</v>
      </c>
      <c r="U97" s="793" t="s">
        <v>35</v>
      </c>
      <c r="V97" s="1071">
        <f>R97+$V$96*S97</f>
        <v>6.213321718663849</v>
      </c>
      <c r="W97" s="606"/>
      <c r="X97" s="1584" t="s">
        <v>16</v>
      </c>
    </row>
    <row r="98" spans="1:24">
      <c r="A98" s="606"/>
      <c r="B98" s="615">
        <v>7.8</v>
      </c>
      <c r="C98" s="616"/>
      <c r="D98" s="789">
        <f t="shared" ref="D98:D109" si="60">D74</f>
        <v>0.39583333333333331</v>
      </c>
      <c r="E98" s="1234">
        <v>12.111111111111111</v>
      </c>
      <c r="F98" s="1234">
        <v>9.8888888888888893</v>
      </c>
      <c r="G98" s="1234">
        <v>8.1999999999999993</v>
      </c>
      <c r="H98" s="1252">
        <v>9.1</v>
      </c>
      <c r="I98" s="1234"/>
      <c r="J98" s="1234">
        <v>10.3</v>
      </c>
      <c r="K98" s="1234">
        <v>10.5</v>
      </c>
      <c r="L98" s="1234">
        <v>9.6</v>
      </c>
      <c r="M98" s="1234"/>
      <c r="N98" s="1234">
        <v>9.4</v>
      </c>
      <c r="O98" s="794"/>
      <c r="P98" s="790"/>
      <c r="Q98" s="790"/>
      <c r="R98" s="791">
        <f t="shared" si="59"/>
        <v>9.8874999999999993</v>
      </c>
      <c r="S98" s="792">
        <f t="shared" ref="S98:S105" si="61">IF(COUNTIF(E98:Q98,"")&gt;10,2.2,STDEV(E98:Q98))</f>
        <v>1.1512655026081515</v>
      </c>
      <c r="T98" s="791">
        <f t="shared" ref="T98:T105" si="62">R98-$V$96*S98</f>
        <v>9.1115470512421055</v>
      </c>
      <c r="U98" s="1100" t="s">
        <v>35</v>
      </c>
      <c r="V98" s="1071">
        <f t="shared" ref="V98:V105" si="63">R98+$V$96*S98</f>
        <v>10.663452948757893</v>
      </c>
      <c r="W98" s="606"/>
      <c r="X98" s="1585">
        <f>R97/V$111</f>
        <v>6.1300000000000008</v>
      </c>
    </row>
    <row r="99" spans="1:24">
      <c r="A99" s="606"/>
      <c r="B99" s="615">
        <v>5.5</v>
      </c>
      <c r="C99" s="616"/>
      <c r="D99" s="789">
        <f t="shared" si="60"/>
        <v>0.5</v>
      </c>
      <c r="E99" s="1234">
        <v>8.0555555555555554</v>
      </c>
      <c r="F99" s="1234">
        <v>6.7777777777777777</v>
      </c>
      <c r="G99" s="1234">
        <v>4.8</v>
      </c>
      <c r="H99" s="1252">
        <v>6.8</v>
      </c>
      <c r="I99" s="1234">
        <v>10.3</v>
      </c>
      <c r="J99" s="1234">
        <v>8.1999999999999993</v>
      </c>
      <c r="K99" s="1234">
        <v>8.6999999999999993</v>
      </c>
      <c r="L99" s="1234">
        <v>6</v>
      </c>
      <c r="M99" s="1234"/>
      <c r="N99" s="1234">
        <v>7.4</v>
      </c>
      <c r="O99" s="794"/>
      <c r="P99" s="790"/>
      <c r="Q99" s="790"/>
      <c r="R99" s="791">
        <f t="shared" si="59"/>
        <v>7.4481481481481495</v>
      </c>
      <c r="S99" s="792">
        <f t="shared" si="61"/>
        <v>1.6053056322206962</v>
      </c>
      <c r="T99" s="791">
        <f t="shared" si="62"/>
        <v>6.3661721520314005</v>
      </c>
      <c r="U99" s="1100" t="s">
        <v>35</v>
      </c>
      <c r="V99" s="1071">
        <f t="shared" si="63"/>
        <v>8.5301241442648994</v>
      </c>
      <c r="W99" s="606"/>
      <c r="X99" s="1585">
        <f t="shared" ref="X98:X106" si="64">R98/V$111</f>
        <v>9.8874999999999993</v>
      </c>
    </row>
    <row r="100" spans="1:24">
      <c r="A100" s="606"/>
      <c r="B100" s="615">
        <v>7.8</v>
      </c>
      <c r="C100" s="616"/>
      <c r="D100" s="789">
        <f t="shared" si="60"/>
        <v>0.60416666666666663</v>
      </c>
      <c r="E100" s="1234">
        <v>7.0555555555555554</v>
      </c>
      <c r="F100" s="1234">
        <v>8.7222222222222214</v>
      </c>
      <c r="G100" s="1234">
        <v>10.6</v>
      </c>
      <c r="H100" s="1252">
        <v>6.2</v>
      </c>
      <c r="I100" s="1234">
        <v>6.8</v>
      </c>
      <c r="J100" s="1234">
        <v>5.4</v>
      </c>
      <c r="K100" s="1234"/>
      <c r="L100" s="1234">
        <v>4.5</v>
      </c>
      <c r="M100" s="1234"/>
      <c r="N100" s="1234">
        <v>6</v>
      </c>
      <c r="O100" s="794"/>
      <c r="P100" s="795"/>
      <c r="Q100" s="795"/>
      <c r="R100" s="791">
        <f t="shared" si="59"/>
        <v>6.9097222222222214</v>
      </c>
      <c r="S100" s="792">
        <f t="shared" si="61"/>
        <v>1.9403215928288544</v>
      </c>
      <c r="T100" s="791">
        <f t="shared" si="62"/>
        <v>5.6019454686555736</v>
      </c>
      <c r="U100" s="1100" t="s">
        <v>35</v>
      </c>
      <c r="V100" s="1071">
        <f t="shared" si="63"/>
        <v>8.2174989757888692</v>
      </c>
      <c r="W100" s="606"/>
      <c r="X100" s="1585">
        <f t="shared" si="64"/>
        <v>7.4481481481481495</v>
      </c>
    </row>
    <row r="101" spans="1:24">
      <c r="A101" s="606"/>
      <c r="B101" s="615">
        <v>5.5</v>
      </c>
      <c r="C101" s="616"/>
      <c r="D101" s="789">
        <f t="shared" si="60"/>
        <v>0.72916666666666663</v>
      </c>
      <c r="E101" s="1234">
        <v>6</v>
      </c>
      <c r="F101" s="1234">
        <v>9.1666666666666661</v>
      </c>
      <c r="G101" s="1234">
        <v>6.9</v>
      </c>
      <c r="H101" s="1252">
        <v>8.1999999999999993</v>
      </c>
      <c r="I101" s="1234">
        <v>6.4</v>
      </c>
      <c r="J101" s="1234">
        <v>5</v>
      </c>
      <c r="K101" s="1234">
        <v>9.1999999999999993</v>
      </c>
      <c r="L101" s="1234">
        <v>4.9000000000000004</v>
      </c>
      <c r="M101" s="1234">
        <v>6.8</v>
      </c>
      <c r="N101" s="1234">
        <v>8.1999999999999993</v>
      </c>
      <c r="O101" s="794"/>
      <c r="P101" s="795"/>
      <c r="Q101" s="796"/>
      <c r="R101" s="797">
        <f t="shared" si="59"/>
        <v>7.0766666666666653</v>
      </c>
      <c r="S101" s="792">
        <f t="shared" si="61"/>
        <v>1.5697015521948705</v>
      </c>
      <c r="T101" s="791">
        <f t="shared" si="62"/>
        <v>6.0186878204873224</v>
      </c>
      <c r="U101" s="1100" t="s">
        <v>35</v>
      </c>
      <c r="V101" s="1071">
        <f t="shared" si="63"/>
        <v>8.1346455128460082</v>
      </c>
      <c r="W101" s="606"/>
      <c r="X101" s="1585">
        <f t="shared" si="64"/>
        <v>6.9097222222222214</v>
      </c>
    </row>
    <row r="102" spans="1:24">
      <c r="A102" s="606"/>
      <c r="B102" s="615">
        <v>7.8</v>
      </c>
      <c r="C102" s="616"/>
      <c r="D102" s="789">
        <f t="shared" si="60"/>
        <v>0.83333333333333337</v>
      </c>
      <c r="E102" s="1234">
        <v>5.9444444444444446</v>
      </c>
      <c r="F102" s="1234">
        <v>10.722222222222221</v>
      </c>
      <c r="G102" s="1234">
        <v>7.7</v>
      </c>
      <c r="H102" s="1252">
        <v>10.7</v>
      </c>
      <c r="I102" s="1234">
        <v>7</v>
      </c>
      <c r="J102" s="1234">
        <v>11.9</v>
      </c>
      <c r="K102" s="1234">
        <v>10.8</v>
      </c>
      <c r="L102" s="1234">
        <v>5.2</v>
      </c>
      <c r="M102" s="1234">
        <v>5.2</v>
      </c>
      <c r="N102" s="1234">
        <v>8.6999999999999993</v>
      </c>
      <c r="O102" s="794"/>
      <c r="P102" s="795"/>
      <c r="Q102" s="796"/>
      <c r="R102" s="791">
        <f t="shared" si="59"/>
        <v>8.3866666666666667</v>
      </c>
      <c r="S102" s="792">
        <f t="shared" si="61"/>
        <v>2.5329098628087459</v>
      </c>
      <c r="T102" s="791">
        <f t="shared" si="62"/>
        <v>6.679485419133572</v>
      </c>
      <c r="U102" s="1100" t="s">
        <v>35</v>
      </c>
      <c r="V102" s="1071">
        <f t="shared" si="63"/>
        <v>10.093847914199761</v>
      </c>
      <c r="W102" s="606"/>
      <c r="X102" s="1585">
        <f t="shared" si="64"/>
        <v>7.0766666666666653</v>
      </c>
    </row>
    <row r="103" spans="1:24">
      <c r="A103" s="606"/>
      <c r="B103" s="615">
        <v>6.7</v>
      </c>
      <c r="C103" s="616"/>
      <c r="D103" s="789">
        <f t="shared" si="60"/>
        <v>0.95833333333333337</v>
      </c>
      <c r="E103" s="1234">
        <v>10</v>
      </c>
      <c r="F103" s="1234">
        <v>7.2222222222222223</v>
      </c>
      <c r="G103" s="1234">
        <v>7.4</v>
      </c>
      <c r="H103" s="1252">
        <v>9</v>
      </c>
      <c r="I103" s="1234">
        <v>7.6</v>
      </c>
      <c r="J103" s="1234">
        <v>5.3</v>
      </c>
      <c r="K103" s="1234">
        <v>9.6999999999999993</v>
      </c>
      <c r="L103" s="1234"/>
      <c r="M103" s="1234">
        <v>5.3</v>
      </c>
      <c r="N103" s="1234">
        <v>7.9</v>
      </c>
      <c r="O103" s="794"/>
      <c r="P103" s="790"/>
      <c r="Q103" s="790"/>
      <c r="R103" s="791">
        <f t="shared" si="59"/>
        <v>7.7135802469135797</v>
      </c>
      <c r="S103" s="792">
        <f t="shared" si="61"/>
        <v>1.6906585919761521</v>
      </c>
      <c r="T103" s="791">
        <f t="shared" si="62"/>
        <v>6.5740763559216528</v>
      </c>
      <c r="U103" s="1100" t="s">
        <v>35</v>
      </c>
      <c r="V103" s="1071">
        <f t="shared" si="63"/>
        <v>8.8530841379055065</v>
      </c>
      <c r="W103" s="606"/>
      <c r="X103" s="1585">
        <f t="shared" si="64"/>
        <v>8.3866666666666667</v>
      </c>
    </row>
    <row r="104" spans="1:24">
      <c r="A104" s="606"/>
      <c r="B104" s="615">
        <v>4.7</v>
      </c>
      <c r="C104" s="616"/>
      <c r="D104" s="789" t="str">
        <f t="shared" si="60"/>
        <v>Nacht</v>
      </c>
      <c r="E104" s="1234">
        <v>5.2777777777777777</v>
      </c>
      <c r="F104" s="1234">
        <v>5.5555555555555554</v>
      </c>
      <c r="G104" s="1234">
        <v>5.9</v>
      </c>
      <c r="H104" s="1252">
        <v>5.8</v>
      </c>
      <c r="I104" s="1234">
        <v>6.5</v>
      </c>
      <c r="J104" s="1234">
        <v>6.6</v>
      </c>
      <c r="K104" s="1234">
        <v>6.5</v>
      </c>
      <c r="L104" s="1234"/>
      <c r="M104" s="1234">
        <v>5.8</v>
      </c>
      <c r="N104" s="1234">
        <v>6.1</v>
      </c>
      <c r="O104" s="794"/>
      <c r="P104" s="790"/>
      <c r="Q104" s="790"/>
      <c r="R104" s="791">
        <f t="shared" si="59"/>
        <v>6.0037037037037031</v>
      </c>
      <c r="S104" s="792">
        <f t="shared" si="61"/>
        <v>0.45812284729085112</v>
      </c>
      <c r="T104" s="791">
        <f t="shared" si="62"/>
        <v>5.6949289046296698</v>
      </c>
      <c r="U104" s="1100" t="s">
        <v>35</v>
      </c>
      <c r="V104" s="1071">
        <f t="shared" si="63"/>
        <v>6.3124785027777364</v>
      </c>
      <c r="W104" s="606"/>
      <c r="X104" s="1585">
        <f t="shared" si="64"/>
        <v>7.7135802469135797</v>
      </c>
    </row>
    <row r="105" spans="1:24">
      <c r="A105" s="606"/>
      <c r="B105" s="615">
        <v>5.5</v>
      </c>
      <c r="C105" s="616"/>
      <c r="D105" s="789" t="str">
        <f t="shared" si="60"/>
        <v>Früh</v>
      </c>
      <c r="E105" s="1234">
        <v>6.2777777777777777</v>
      </c>
      <c r="F105" s="1234">
        <v>6.2222222222222223</v>
      </c>
      <c r="G105" s="1234"/>
      <c r="H105" s="1252"/>
      <c r="I105" s="1234">
        <v>6</v>
      </c>
      <c r="J105" s="1234">
        <v>6.2</v>
      </c>
      <c r="K105" s="1234"/>
      <c r="L105" s="1234"/>
      <c r="M105" s="1234">
        <v>6.2</v>
      </c>
      <c r="N105" s="1234">
        <v>6.3</v>
      </c>
      <c r="O105" s="794"/>
      <c r="P105" s="790"/>
      <c r="Q105" s="790"/>
      <c r="R105" s="791">
        <f t="shared" si="59"/>
        <v>6.1999999999999993</v>
      </c>
      <c r="S105" s="792">
        <f t="shared" si="61"/>
        <v>0.10634209879115905</v>
      </c>
      <c r="T105" s="791">
        <f t="shared" si="62"/>
        <v>6.1283254254147579</v>
      </c>
      <c r="U105" s="1100" t="s">
        <v>35</v>
      </c>
      <c r="V105" s="1071">
        <f t="shared" si="63"/>
        <v>6.2716745745852407</v>
      </c>
      <c r="W105" s="606"/>
      <c r="X105" s="1585">
        <f t="shared" si="64"/>
        <v>6.0037037037037031</v>
      </c>
    </row>
    <row r="106" spans="1:24">
      <c r="A106" s="606"/>
      <c r="B106" s="145"/>
      <c r="C106" s="145"/>
      <c r="D106" s="798" t="str">
        <f t="shared" si="60"/>
        <v>Datum</v>
      </c>
      <c r="E106" s="1148">
        <f>V112</f>
        <v>41274</v>
      </c>
      <c r="F106" s="1143">
        <f>E106+$V113</f>
        <v>41277.5</v>
      </c>
      <c r="G106" s="1143">
        <f t="shared" ref="G106:N106" si="65">F106+$V113</f>
        <v>41281</v>
      </c>
      <c r="H106" s="1143">
        <f t="shared" si="65"/>
        <v>41284.5</v>
      </c>
      <c r="I106" s="1143">
        <f t="shared" si="65"/>
        <v>41288</v>
      </c>
      <c r="J106" s="1143">
        <f t="shared" si="65"/>
        <v>41291.5</v>
      </c>
      <c r="K106" s="1143">
        <f t="shared" si="65"/>
        <v>41295</v>
      </c>
      <c r="L106" s="1143">
        <f t="shared" si="65"/>
        <v>41298.5</v>
      </c>
      <c r="M106" s="1143">
        <f t="shared" si="65"/>
        <v>41302</v>
      </c>
      <c r="N106" s="1143">
        <f t="shared" si="65"/>
        <v>41305.5</v>
      </c>
      <c r="O106" s="799">
        <f>N106+$V$113*2</f>
        <v>41312.5</v>
      </c>
      <c r="P106" s="799">
        <f>O106+$V$113*2</f>
        <v>41319.5</v>
      </c>
      <c r="Q106" s="799">
        <f>P106+$V$113*2</f>
        <v>41326.5</v>
      </c>
      <c r="R106" s="800"/>
      <c r="S106" s="801">
        <f>(AVERAGE('(intern)'!BF4:BR12)+(86/18)/33.3)</f>
        <v>7.258870922204256</v>
      </c>
      <c r="T106" s="802" t="s">
        <v>33</v>
      </c>
      <c r="U106" s="803"/>
      <c r="V106" s="802"/>
      <c r="W106" s="606"/>
      <c r="X106" s="1586">
        <f t="shared" si="64"/>
        <v>6.1999999999999993</v>
      </c>
    </row>
    <row r="107" spans="1:24" ht="17">
      <c r="A107" s="606"/>
      <c r="B107" s="145"/>
      <c r="C107" s="145"/>
      <c r="D107" s="992" t="str">
        <f t="shared" si="60"/>
        <v>Tagesminimum</v>
      </c>
      <c r="E107" s="804">
        <f t="shared" ref="E107:L107" si="66">IF(MIN(E97:E105)=0,"-",MIN(E97:E105))</f>
        <v>5.2777777777777777</v>
      </c>
      <c r="F107" s="804">
        <f>IF(MIN(F97:F105)=0,"-",MIN(F97:F105))</f>
        <v>5.5555555555555554</v>
      </c>
      <c r="G107" s="804">
        <f t="shared" si="66"/>
        <v>4.8</v>
      </c>
      <c r="H107" s="804">
        <f>IF(MIN(H97:H105)=0,"-",MIN(H97:H105))</f>
        <v>5.8</v>
      </c>
      <c r="I107" s="1020">
        <f>IF(MIN(I97:I105)=0,"-",MIN(I97:I105))</f>
        <v>6</v>
      </c>
      <c r="J107" s="804">
        <f t="shared" si="66"/>
        <v>5</v>
      </c>
      <c r="K107" s="805">
        <f>IF(MIN(K97:K105)=0,"-",MIN(K97:K105))</f>
        <v>6</v>
      </c>
      <c r="L107" s="804">
        <f t="shared" si="66"/>
        <v>4.5</v>
      </c>
      <c r="M107" s="804">
        <f>IF(MIN(M97:M105)=0,"-",MIN(M97:M105))</f>
        <v>5.2</v>
      </c>
      <c r="N107" s="804">
        <f>IF(MIN(N97:N105)=0,"-",MIN(N97:N105))</f>
        <v>5.9</v>
      </c>
      <c r="O107" s="806" t="str">
        <f>IF(MIN(O97:O105)=0,"-",MIN(O97:O105))</f>
        <v>-</v>
      </c>
      <c r="P107" s="806" t="str">
        <f>IF(MIN(P97:P105)=0,"-",MIN(P97:P105))</f>
        <v>-</v>
      </c>
      <c r="Q107" s="806" t="str">
        <f>IF(MIN(Q97:Q105)=0,"-",MIN(Q97:Q105))</f>
        <v>-</v>
      </c>
      <c r="R107" s="807" t="s">
        <v>17</v>
      </c>
      <c r="S107" s="808">
        <f>(AVERAGE('(intern)'!BF4:BI12)+(86/18)/33.3)</f>
        <v>7.6319798965632275</v>
      </c>
      <c r="T107" s="809" t="s">
        <v>19</v>
      </c>
      <c r="U107" s="810" t="s">
        <v>20</v>
      </c>
      <c r="V107" s="811"/>
      <c r="W107" s="606"/>
    </row>
    <row r="108" spans="1:24">
      <c r="A108" s="606"/>
      <c r="B108" s="145"/>
      <c r="C108" s="145"/>
      <c r="D108" s="993" t="str">
        <f t="shared" si="60"/>
        <v>Tagesmaximum</v>
      </c>
      <c r="E108" s="804">
        <f t="shared" ref="E108:J108" si="67">IF(MAX(E97:E105)=0,"-",MAX(E97:E105))</f>
        <v>12.111111111111111</v>
      </c>
      <c r="F108" s="804">
        <f>IF(MAX(F97:F105)=0,"-",MAX(F97:F105))</f>
        <v>10.722222222222221</v>
      </c>
      <c r="G108" s="804">
        <f t="shared" si="67"/>
        <v>10.6</v>
      </c>
      <c r="H108" s="804">
        <f t="shared" si="67"/>
        <v>10.7</v>
      </c>
      <c r="I108" s="804">
        <f t="shared" si="67"/>
        <v>10.3</v>
      </c>
      <c r="J108" s="804">
        <f t="shared" si="67"/>
        <v>11.9</v>
      </c>
      <c r="K108" s="805">
        <f>IF(MAX(K97:K105)=0,"-",MAX(K97:K105))</f>
        <v>10.8</v>
      </c>
      <c r="L108" s="804">
        <f t="shared" ref="L108:Q108" si="68">IF(MAX(L97:L105)=0,"-",MAX(L97:L105))</f>
        <v>9.6</v>
      </c>
      <c r="M108" s="804">
        <f t="shared" si="68"/>
        <v>6.8</v>
      </c>
      <c r="N108" s="804">
        <f t="shared" si="68"/>
        <v>9.4</v>
      </c>
      <c r="O108" s="806" t="str">
        <f t="shared" si="68"/>
        <v>-</v>
      </c>
      <c r="P108" s="806" t="str">
        <f t="shared" si="68"/>
        <v>-</v>
      </c>
      <c r="Q108" s="806" t="str">
        <f t="shared" si="68"/>
        <v>-</v>
      </c>
      <c r="R108" s="812"/>
      <c r="S108" s="813">
        <f>(AVERAGE('(intern)'!BI4:BL12)+(86/18)/33.3)</f>
        <v>7.7014243410076739</v>
      </c>
      <c r="T108" s="814" t="s">
        <v>19</v>
      </c>
      <c r="U108" s="803"/>
      <c r="V108" s="815"/>
      <c r="W108" s="606"/>
    </row>
    <row r="109" spans="1:24">
      <c r="A109" s="606"/>
      <c r="B109" s="145"/>
      <c r="C109" s="145"/>
      <c r="D109" s="994" t="str">
        <f t="shared" si="60"/>
        <v>Tagesmittelwert</v>
      </c>
      <c r="E109" s="816">
        <f>IF(E108="-",AVERAGE(B97:B105),AVERAGE(E97:E105))</f>
        <v>7.4444444444444446</v>
      </c>
      <c r="F109" s="816">
        <f>IF(F108="-",E109,AVERAGE(F97:F105))</f>
        <v>7.833333333333333</v>
      </c>
      <c r="G109" s="816">
        <f t="shared" ref="G109:Q109" si="69">IF(G108="-",F109,AVERAGE(G97:G105))</f>
        <v>7.2124999999999995</v>
      </c>
      <c r="H109" s="816">
        <f t="shared" ref="H109:M109" si="70">IF(H108="-",G109,AVERAGE(H97:H105))</f>
        <v>7.7374999999999989</v>
      </c>
      <c r="I109" s="816">
        <f t="shared" si="70"/>
        <v>7.0750000000000002</v>
      </c>
      <c r="J109" s="816">
        <f t="shared" si="70"/>
        <v>7.2333333333333325</v>
      </c>
      <c r="K109" s="817">
        <f t="shared" si="70"/>
        <v>8.7714285714285722</v>
      </c>
      <c r="L109" s="816">
        <f t="shared" si="70"/>
        <v>6.0666666666666673</v>
      </c>
      <c r="M109" s="816">
        <f t="shared" si="70"/>
        <v>5.916666666666667</v>
      </c>
      <c r="N109" s="816">
        <f t="shared" ref="N109:P109" si="71">IF(N108="-",M109,AVERAGE(N97:N105))</f>
        <v>7.3222222222222229</v>
      </c>
      <c r="O109" s="818">
        <f t="shared" si="71"/>
        <v>7.3222222222222229</v>
      </c>
      <c r="P109" s="818">
        <f t="shared" si="71"/>
        <v>7.3222222222222229</v>
      </c>
      <c r="Q109" s="818">
        <f t="shared" si="69"/>
        <v>7.3222222222222229</v>
      </c>
      <c r="R109" s="819">
        <f>AVERAGE(E109:Q109)</f>
        <v>7.2753663003663007</v>
      </c>
      <c r="S109" s="820">
        <f>(AVERAGE('(intern)'!BL4:BR12)+(86/18)/33.3)</f>
        <v>7.0095879212545906</v>
      </c>
      <c r="T109" s="821" t="s">
        <v>19</v>
      </c>
      <c r="U109" s="803"/>
      <c r="V109" s="815"/>
      <c r="W109" s="606"/>
    </row>
    <row r="110" spans="1:24" ht="14" thickBot="1">
      <c r="A110" s="606"/>
      <c r="B110" s="145"/>
      <c r="C110" s="145"/>
      <c r="D110" s="822"/>
      <c r="E110" s="823">
        <f>WEEKDAY(E106)</f>
        <v>1</v>
      </c>
      <c r="F110" s="823">
        <f t="shared" ref="F110:Q110" si="72">WEEKDAY(F106)</f>
        <v>4</v>
      </c>
      <c r="G110" s="823">
        <f t="shared" si="72"/>
        <v>1</v>
      </c>
      <c r="H110" s="823">
        <f t="shared" si="72"/>
        <v>4</v>
      </c>
      <c r="I110" s="823">
        <f t="shared" si="72"/>
        <v>1</v>
      </c>
      <c r="J110" s="823">
        <f t="shared" si="72"/>
        <v>4</v>
      </c>
      <c r="K110" s="823">
        <f t="shared" si="72"/>
        <v>1</v>
      </c>
      <c r="L110" s="823">
        <f t="shared" si="72"/>
        <v>4</v>
      </c>
      <c r="M110" s="823">
        <f t="shared" si="72"/>
        <v>1</v>
      </c>
      <c r="N110" s="823">
        <f t="shared" si="72"/>
        <v>4</v>
      </c>
      <c r="O110" s="824">
        <f t="shared" si="72"/>
        <v>4</v>
      </c>
      <c r="P110" s="824">
        <f t="shared" si="72"/>
        <v>4</v>
      </c>
      <c r="Q110" s="824">
        <f t="shared" si="72"/>
        <v>4</v>
      </c>
      <c r="R110" s="825"/>
      <c r="S110" s="826"/>
      <c r="T110" s="827"/>
      <c r="U110" s="828"/>
      <c r="V110" s="145"/>
      <c r="W110" s="606"/>
    </row>
    <row r="111" spans="1:24" ht="28" customHeight="1">
      <c r="A111" s="606"/>
      <c r="B111" s="1359" t="s">
        <v>84</v>
      </c>
      <c r="C111" s="1360"/>
      <c r="D111" s="954" t="str">
        <f t="shared" ref="D111:D116" si="73">D87</f>
        <v>I.E. / Basal</v>
      </c>
      <c r="E111" s="1067" t="s">
        <v>167</v>
      </c>
      <c r="F111" s="1067" t="s">
        <v>167</v>
      </c>
      <c r="G111" s="1067" t="s">
        <v>167</v>
      </c>
      <c r="H111" s="1067" t="s">
        <v>167</v>
      </c>
      <c r="I111" s="1067" t="s">
        <v>167</v>
      </c>
      <c r="J111" s="1067" t="s">
        <v>167</v>
      </c>
      <c r="K111" s="1067" t="s">
        <v>167</v>
      </c>
      <c r="L111" s="1067" t="s">
        <v>167</v>
      </c>
      <c r="M111" s="1067" t="s">
        <v>167</v>
      </c>
      <c r="N111" s="1067" t="s">
        <v>167</v>
      </c>
      <c r="O111" s="483" t="s">
        <v>94</v>
      </c>
      <c r="P111" s="483" t="s">
        <v>94</v>
      </c>
      <c r="Q111" s="483" t="s">
        <v>94</v>
      </c>
      <c r="R111" s="1361" t="s">
        <v>172</v>
      </c>
      <c r="S111" s="1362"/>
      <c r="T111" s="602" t="s">
        <v>43</v>
      </c>
      <c r="U111" s="602"/>
      <c r="V111" s="1587">
        <v>1</v>
      </c>
      <c r="W111" s="606"/>
    </row>
    <row r="112" spans="1:24" ht="28" customHeight="1">
      <c r="A112" s="606"/>
      <c r="B112" s="829"/>
      <c r="C112" s="829"/>
      <c r="D112" s="991" t="str">
        <f t="shared" si="73"/>
        <v>BE</v>
      </c>
      <c r="E112" s="1068" t="s">
        <v>157</v>
      </c>
      <c r="F112" s="1068" t="s">
        <v>157</v>
      </c>
      <c r="G112" s="1068" t="s">
        <v>157</v>
      </c>
      <c r="H112" s="1068" t="s">
        <v>157</v>
      </c>
      <c r="I112" s="1068" t="s">
        <v>157</v>
      </c>
      <c r="J112" s="1068" t="s">
        <v>157</v>
      </c>
      <c r="K112" s="1068" t="s">
        <v>157</v>
      </c>
      <c r="L112" s="1068" t="s">
        <v>157</v>
      </c>
      <c r="M112" s="1068" t="s">
        <v>157</v>
      </c>
      <c r="N112" s="1068" t="s">
        <v>157</v>
      </c>
      <c r="O112" s="484" t="s">
        <v>94</v>
      </c>
      <c r="P112" s="484" t="s">
        <v>94</v>
      </c>
      <c r="Q112" s="484" t="s">
        <v>94</v>
      </c>
      <c r="R112" s="1363"/>
      <c r="S112" s="1364"/>
      <c r="T112" s="1337" t="s">
        <v>85</v>
      </c>
      <c r="U112" s="1337"/>
      <c r="V112" s="143">
        <f>V19</f>
        <v>41274</v>
      </c>
      <c r="W112" s="606"/>
    </row>
    <row r="113" spans="1:24" ht="28" customHeight="1" thickBot="1">
      <c r="A113" s="606"/>
      <c r="B113" s="829"/>
      <c r="C113" s="829"/>
      <c r="D113" s="991" t="str">
        <f t="shared" si="73"/>
        <v>Sport</v>
      </c>
      <c r="E113" s="1069" t="s">
        <v>231</v>
      </c>
      <c r="F113" s="939"/>
      <c r="G113" s="565"/>
      <c r="H113" s="564"/>
      <c r="I113" s="939"/>
      <c r="J113" s="1028"/>
      <c r="K113" s="1019"/>
      <c r="L113" s="565"/>
      <c r="M113" s="1104"/>
      <c r="N113" s="939"/>
      <c r="O113" s="484" t="s">
        <v>94</v>
      </c>
      <c r="P113" s="484" t="s">
        <v>94</v>
      </c>
      <c r="Q113" s="484" t="s">
        <v>94</v>
      </c>
      <c r="R113" s="1365"/>
      <c r="S113" s="1366"/>
      <c r="T113" s="1338" t="s">
        <v>3</v>
      </c>
      <c r="U113" s="1338"/>
      <c r="V113" s="579">
        <f>7/2</f>
        <v>3.5</v>
      </c>
      <c r="W113" s="606"/>
    </row>
    <row r="114" spans="1:24" ht="28" customHeight="1">
      <c r="A114" s="606"/>
      <c r="B114" s="829"/>
      <c r="C114" s="829"/>
      <c r="D114" s="991" t="str">
        <f t="shared" si="73"/>
        <v>Krankheit</v>
      </c>
      <c r="E114" s="1093" t="s">
        <v>232</v>
      </c>
      <c r="F114" s="517"/>
      <c r="G114" s="990" t="s">
        <v>235</v>
      </c>
      <c r="H114" s="577"/>
      <c r="I114" s="564"/>
      <c r="J114" s="1029"/>
      <c r="K114" s="1029"/>
      <c r="L114" s="1029"/>
      <c r="M114" s="1093"/>
      <c r="N114" s="517"/>
      <c r="O114" s="482" t="s">
        <v>94</v>
      </c>
      <c r="P114" s="482" t="s">
        <v>94</v>
      </c>
      <c r="Q114" s="482" t="s">
        <v>94</v>
      </c>
      <c r="R114" s="144"/>
      <c r="S114" s="145"/>
      <c r="T114" s="145"/>
      <c r="U114" s="146"/>
      <c r="V114" s="147"/>
      <c r="W114" s="606"/>
    </row>
    <row r="115" spans="1:24" ht="28" customHeight="1">
      <c r="A115" s="606"/>
      <c r="B115" s="829"/>
      <c r="C115" s="829"/>
      <c r="D115" s="991" t="str">
        <f t="shared" si="73"/>
        <v>Besonderheiten</v>
      </c>
      <c r="E115" s="1103" t="s">
        <v>233</v>
      </c>
      <c r="F115" s="1077"/>
      <c r="G115" s="1086"/>
      <c r="H115" s="1101"/>
      <c r="I115" s="1076"/>
      <c r="J115" s="1078"/>
      <c r="K115" s="1102"/>
      <c r="L115" s="509"/>
      <c r="M115" s="1103"/>
      <c r="N115" s="509"/>
      <c r="O115" s="578" t="s">
        <v>94</v>
      </c>
      <c r="P115" s="482" t="s">
        <v>94</v>
      </c>
      <c r="Q115" s="482" t="s">
        <v>94</v>
      </c>
      <c r="R115" s="144"/>
      <c r="S115" s="148" t="s">
        <v>170</v>
      </c>
      <c r="T115" s="1339" t="s">
        <v>59</v>
      </c>
      <c r="U115" s="1340"/>
      <c r="V115" s="1280">
        <v>7.6</v>
      </c>
      <c r="W115" s="606"/>
    </row>
    <row r="116" spans="1:24" ht="28" customHeight="1">
      <c r="A116" s="606"/>
      <c r="B116" s="829"/>
      <c r="C116" s="829"/>
      <c r="D116" s="991" t="str">
        <f t="shared" si="73"/>
        <v>Sonstiges</v>
      </c>
      <c r="E116" s="566" t="s">
        <v>234</v>
      </c>
      <c r="F116" s="1070"/>
      <c r="G116" s="1126"/>
      <c r="H116" s="566"/>
      <c r="I116" s="1082"/>
      <c r="J116" s="1146"/>
      <c r="K116" s="601"/>
      <c r="L116" s="566"/>
      <c r="M116" s="566"/>
      <c r="N116" s="1070"/>
      <c r="O116" s="485" t="s">
        <v>94</v>
      </c>
      <c r="P116" s="485" t="s">
        <v>94</v>
      </c>
      <c r="Q116" s="485" t="s">
        <v>94</v>
      </c>
      <c r="R116" s="144"/>
      <c r="S116" s="146"/>
      <c r="T116" s="1336" t="s">
        <v>47</v>
      </c>
      <c r="U116" s="1336"/>
      <c r="V116" s="1279">
        <f>V115</f>
        <v>7.6</v>
      </c>
      <c r="W116" s="606"/>
    </row>
    <row r="117" spans="1:24">
      <c r="A117" s="606"/>
      <c r="B117" s="606"/>
      <c r="C117" s="606"/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7"/>
      <c r="V117" s="606"/>
      <c r="W117" s="606"/>
    </row>
    <row r="118" spans="1:24">
      <c r="D118" s="449" t="s">
        <v>31</v>
      </c>
      <c r="J118" s="830"/>
      <c r="Q118" s="864"/>
      <c r="T118" s="1319" t="s">
        <v>171</v>
      </c>
      <c r="U118" s="1320"/>
      <c r="V118" s="1320"/>
      <c r="W118" s="1320"/>
      <c r="X118" s="1321"/>
    </row>
    <row r="119" spans="1:24" ht="18">
      <c r="E119" s="831"/>
      <c r="F119" s="831"/>
      <c r="G119" s="1066"/>
      <c r="H119" s="832"/>
      <c r="I119" s="833"/>
      <c r="J119" s="834" t="s">
        <v>133</v>
      </c>
      <c r="K119" s="835"/>
      <c r="L119" s="836"/>
      <c r="M119" s="831"/>
      <c r="N119" s="831"/>
      <c r="P119" s="1131">
        <v>0</v>
      </c>
      <c r="Q119" s="1389" t="s">
        <v>35</v>
      </c>
      <c r="R119" s="1131">
        <v>3.3</v>
      </c>
      <c r="S119" s="688" t="s">
        <v>152</v>
      </c>
      <c r="T119" s="1395" t="s">
        <v>148</v>
      </c>
      <c r="U119" s="1395"/>
    </row>
    <row r="120" spans="1:24" ht="14" thickBot="1">
      <c r="D120" s="837" t="s">
        <v>32</v>
      </c>
      <c r="F120" s="838"/>
      <c r="H120" s="839"/>
      <c r="I120" s="840" t="s">
        <v>135</v>
      </c>
      <c r="J120" s="841" t="s">
        <v>131</v>
      </c>
      <c r="K120" s="840" t="s">
        <v>132</v>
      </c>
      <c r="L120" s="842"/>
      <c r="P120" s="1118">
        <v>3.4</v>
      </c>
      <c r="Q120" s="1390"/>
      <c r="R120" s="1118">
        <v>6.7</v>
      </c>
      <c r="S120" s="688" t="s">
        <v>152</v>
      </c>
      <c r="T120" s="1396" t="s">
        <v>120</v>
      </c>
      <c r="U120" s="1397"/>
      <c r="V120" s="1065" t="s">
        <v>153</v>
      </c>
    </row>
    <row r="121" spans="1:24">
      <c r="F121" s="843"/>
      <c r="H121" s="844"/>
      <c r="I121" s="1031">
        <v>0.67449000000000003</v>
      </c>
      <c r="J121" s="1032">
        <v>0.5</v>
      </c>
      <c r="K121" s="845">
        <v>0.5</v>
      </c>
      <c r="L121" s="846"/>
      <c r="P121" s="1117">
        <v>6.8</v>
      </c>
      <c r="Q121" s="1390"/>
      <c r="R121" s="1117">
        <v>9.1999999999999993</v>
      </c>
      <c r="S121" s="688" t="s">
        <v>152</v>
      </c>
      <c r="T121" s="1393" t="s">
        <v>149</v>
      </c>
      <c r="U121" s="1394"/>
      <c r="V121" s="1062" t="s">
        <v>154</v>
      </c>
    </row>
    <row r="122" spans="1:24" ht="14" thickBot="1">
      <c r="F122" s="688"/>
      <c r="G122" s="1054"/>
      <c r="H122" s="1053"/>
      <c r="I122" s="1033">
        <v>1</v>
      </c>
      <c r="J122" s="1034">
        <v>0.68300000000000005</v>
      </c>
      <c r="K122" s="848">
        <v>0.317</v>
      </c>
      <c r="L122" s="1054"/>
      <c r="M122" s="1056"/>
      <c r="N122" s="864"/>
      <c r="P122" s="1133">
        <v>9.3000000000000007</v>
      </c>
      <c r="Q122" s="1390"/>
      <c r="R122" s="1132">
        <v>16.7</v>
      </c>
      <c r="S122" s="688" t="s">
        <v>152</v>
      </c>
      <c r="T122" s="1398" t="s">
        <v>150</v>
      </c>
      <c r="U122" s="1399"/>
      <c r="V122" s="1063" t="s">
        <v>155</v>
      </c>
    </row>
    <row r="123" spans="1:24" ht="15" thickTop="1" thickBot="1">
      <c r="F123" s="688" t="s">
        <v>156</v>
      </c>
      <c r="G123" s="846"/>
      <c r="H123" s="844"/>
      <c r="I123" s="1072">
        <v>1.644854</v>
      </c>
      <c r="J123" s="1058">
        <v>0.9</v>
      </c>
      <c r="K123" s="1059">
        <v>0.1</v>
      </c>
      <c r="L123" s="846"/>
      <c r="M123" s="844"/>
      <c r="N123" s="864" t="s">
        <v>156</v>
      </c>
      <c r="P123" s="1134">
        <v>16.8</v>
      </c>
      <c r="Q123" s="1391"/>
      <c r="R123" s="1064" t="s">
        <v>147</v>
      </c>
      <c r="S123" s="688" t="s">
        <v>152</v>
      </c>
      <c r="T123" s="1392" t="s">
        <v>151</v>
      </c>
      <c r="U123" s="1392"/>
    </row>
    <row r="124" spans="1:24" ht="14" thickTop="1">
      <c r="G124" s="1055"/>
      <c r="H124" s="1052"/>
      <c r="I124" s="1035">
        <v>1.959964</v>
      </c>
      <c r="J124" s="1036">
        <v>0.95</v>
      </c>
      <c r="K124" s="849">
        <v>0.05</v>
      </c>
      <c r="L124" s="1055"/>
      <c r="M124" s="1057"/>
      <c r="N124" s="864"/>
      <c r="P124" s="864"/>
      <c r="Q124" s="864"/>
      <c r="R124" s="911"/>
      <c r="S124" s="864"/>
    </row>
    <row r="125" spans="1:24">
      <c r="H125" s="844"/>
      <c r="I125" s="1037">
        <v>2</v>
      </c>
      <c r="J125" s="1038">
        <v>0.95449973600000004</v>
      </c>
      <c r="K125" s="850">
        <v>4.5500263999999999E-2</v>
      </c>
      <c r="L125" s="846"/>
      <c r="P125" s="864"/>
      <c r="Q125" s="864"/>
      <c r="R125" s="911"/>
      <c r="S125" s="864"/>
    </row>
    <row r="126" spans="1:24">
      <c r="H126" s="844"/>
      <c r="I126" s="1033">
        <v>3</v>
      </c>
      <c r="J126" s="1034">
        <v>0.99730020399999997</v>
      </c>
      <c r="K126" s="848">
        <v>2.6997960000000001E-2</v>
      </c>
      <c r="L126" s="846"/>
      <c r="P126" s="864"/>
      <c r="Q126" s="864"/>
      <c r="R126" s="911"/>
      <c r="S126" s="864"/>
    </row>
    <row r="127" spans="1:24" ht="14" thickBot="1">
      <c r="H127" s="844"/>
      <c r="I127" s="1039">
        <v>4</v>
      </c>
      <c r="J127" s="1040">
        <v>0.99993666000000003</v>
      </c>
      <c r="K127" s="848">
        <v>6.334E-5</v>
      </c>
      <c r="L127" s="846"/>
    </row>
    <row r="128" spans="1:24">
      <c r="H128" s="844"/>
      <c r="I128" s="851"/>
      <c r="J128" s="852"/>
      <c r="K128" s="852"/>
      <c r="L128" s="846"/>
    </row>
    <row r="129" spans="8:12">
      <c r="H129" s="853"/>
      <c r="I129" s="854"/>
      <c r="J129" s="855" t="s">
        <v>134</v>
      </c>
      <c r="K129" s="856"/>
      <c r="L129" s="857"/>
    </row>
    <row r="130" spans="8:12">
      <c r="I130" s="847"/>
      <c r="J130" s="858"/>
      <c r="K130" s="858"/>
    </row>
  </sheetData>
  <mergeCells count="48">
    <mergeCell ref="Q119:Q123"/>
    <mergeCell ref="T123:U123"/>
    <mergeCell ref="T121:U121"/>
    <mergeCell ref="T119:U119"/>
    <mergeCell ref="T120:U120"/>
    <mergeCell ref="T122:U122"/>
    <mergeCell ref="R87:S89"/>
    <mergeCell ref="T18:U18"/>
    <mergeCell ref="T26:U26"/>
    <mergeCell ref="T89:U89"/>
    <mergeCell ref="T41:U41"/>
    <mergeCell ref="T87:U87"/>
    <mergeCell ref="T66:U66"/>
    <mergeCell ref="T19:U19"/>
    <mergeCell ref="T23:U23"/>
    <mergeCell ref="T20:U20"/>
    <mergeCell ref="T91:U91"/>
    <mergeCell ref="T3:U3"/>
    <mergeCell ref="T115:U115"/>
    <mergeCell ref="T88:U88"/>
    <mergeCell ref="B96:C96"/>
    <mergeCell ref="B3:C3"/>
    <mergeCell ref="R64:S66"/>
    <mergeCell ref="T64:U64"/>
    <mergeCell ref="T65:U65"/>
    <mergeCell ref="B111:C111"/>
    <mergeCell ref="R111:S113"/>
    <mergeCell ref="T96:U96"/>
    <mergeCell ref="B18:C18"/>
    <mergeCell ref="B41:C41"/>
    <mergeCell ref="B64:C64"/>
    <mergeCell ref="B87:C87"/>
    <mergeCell ref="T118:X118"/>
    <mergeCell ref="R18:S20"/>
    <mergeCell ref="R41:S43"/>
    <mergeCell ref="T22:U22"/>
    <mergeCell ref="T116:U116"/>
    <mergeCell ref="T42:U42"/>
    <mergeCell ref="T43:U43"/>
    <mergeCell ref="T45:U45"/>
    <mergeCell ref="T46:U46"/>
    <mergeCell ref="T69:U69"/>
    <mergeCell ref="T113:U113"/>
    <mergeCell ref="T112:U112"/>
    <mergeCell ref="T68:U68"/>
    <mergeCell ref="T72:U72"/>
    <mergeCell ref="T92:U92"/>
    <mergeCell ref="T49:U49"/>
  </mergeCells>
  <phoneticPr fontId="46" type="noConversion"/>
  <pageMargins left="0.33" right="0.31" top="0.19" bottom="0.24" header="0.14000000000000001" footer="0.13"/>
  <pageSetup paperSize="9" scale="44" orientation="portrait" horizontalDpi="4294967292" verticalDpi="4294967292"/>
  <headerFooter alignWithMargins="0"/>
  <ignoredErrors>
    <ignoredError sqref="R98:R105 R27:R35 S28:S35 R52:T58 R73:V81 T12:V12 T5:V10 F16:Q16 F37:Q39 R97 U97 T11:V11 R11:R12 S50:T50 S51:T51 U4:V4 F14:Q14 F15:Q15" emptyCellReference="1"/>
    <ignoredError sqref="O106:Q106 I36 J36:Q36 E36:H36 E13:H13 J13:Q13" unlockedFormula="1"/>
    <ignoredError sqref="E107:Q109" unlockedFormula="1" emptyCellReference="1"/>
    <ignoredError sqref="R5:R10" formulaRange="1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 enableFormatConditionsCalculation="0">
    <tabColor rgb="FFCCFFCC"/>
    <pageSetUpPr fitToPage="1"/>
  </sheetPr>
  <dimension ref="A1:Y98"/>
  <sheetViews>
    <sheetView showGridLines="0" showRowColHeaders="0" topLeftCell="A74" zoomScale="125" zoomScaleNormal="125" zoomScalePageLayoutView="125" workbookViewId="0">
      <selection activeCell="E73" sqref="E73:N73"/>
    </sheetView>
  </sheetViews>
  <sheetFormatPr baseColWidth="10" defaultRowHeight="13" x14ac:dyDescent="0"/>
  <cols>
    <col min="1" max="2" width="13" customWidth="1"/>
    <col min="3" max="15" width="15.1640625" customWidth="1"/>
    <col min="16" max="16" width="3.1640625" style="1" customWidth="1"/>
  </cols>
  <sheetData>
    <row r="1" spans="1:19" ht="28" customHeight="1">
      <c r="A1" s="1404" t="str">
        <f>'IN (mmol|L)'!R18</f>
        <v>I. Quartal</v>
      </c>
      <c r="B1" s="1405"/>
      <c r="C1" s="588">
        <f>'IN (mmol|L)'!E13</f>
        <v>41274</v>
      </c>
      <c r="D1" s="588">
        <f>'IN (mmol|L)'!F13</f>
        <v>41281</v>
      </c>
      <c r="E1" s="588">
        <f>'IN (mmol|L)'!G13</f>
        <v>41288</v>
      </c>
      <c r="F1" s="588">
        <f>'IN (mmol|L)'!H13</f>
        <v>41295</v>
      </c>
      <c r="G1" s="588">
        <f>'IN (mmol|L)'!I13</f>
        <v>41302</v>
      </c>
      <c r="H1" s="588">
        <f>'IN (mmol|L)'!J13</f>
        <v>41309</v>
      </c>
      <c r="I1" s="588">
        <f>'IN (mmol|L)'!K13</f>
        <v>41316</v>
      </c>
      <c r="J1" s="588">
        <f>'IN (mmol|L)'!L13</f>
        <v>41323</v>
      </c>
      <c r="K1" s="588">
        <f>'IN (mmol|L)'!M13</f>
        <v>41330</v>
      </c>
      <c r="L1" s="588">
        <f>'IN (mmol|L)'!N13</f>
        <v>41337</v>
      </c>
      <c r="M1" s="588">
        <f>'IN (mmol|L)'!O13</f>
        <v>41344</v>
      </c>
      <c r="N1" s="588">
        <f>'IN (mmol|L)'!P13</f>
        <v>41351</v>
      </c>
      <c r="O1" s="588">
        <f>'IN (mmol|L)'!Q13</f>
        <v>41358</v>
      </c>
      <c r="P1" s="106"/>
      <c r="Q1" s="106"/>
      <c r="S1" s="1"/>
    </row>
    <row r="2" spans="1:19" ht="4.75" customHeight="1">
      <c r="A2" s="131"/>
      <c r="B2" s="131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89"/>
      <c r="P2" s="35"/>
      <c r="Q2" s="34"/>
      <c r="R2" s="34"/>
      <c r="S2" s="2"/>
    </row>
    <row r="3" spans="1:19">
      <c r="A3" s="34"/>
      <c r="B3" s="35"/>
      <c r="C3" s="590"/>
      <c r="D3" s="591"/>
      <c r="E3" s="592"/>
      <c r="F3" s="593"/>
      <c r="G3" s="594"/>
      <c r="H3" s="595"/>
      <c r="I3" s="596"/>
      <c r="J3" s="597"/>
      <c r="K3" s="598"/>
      <c r="L3" s="599"/>
      <c r="M3" s="600"/>
      <c r="N3" s="600"/>
      <c r="O3" s="600"/>
      <c r="P3" s="46"/>
      <c r="Q3" s="46"/>
      <c r="R3" s="34"/>
      <c r="S3" s="2"/>
    </row>
    <row r="4" spans="1:19">
      <c r="A4" s="34"/>
      <c r="B4" s="47"/>
      <c r="C4" s="48"/>
      <c r="D4" s="49"/>
      <c r="E4" s="50"/>
      <c r="F4" s="48"/>
      <c r="G4" s="48"/>
      <c r="H4" s="48"/>
      <c r="I4" s="48"/>
      <c r="J4" s="50"/>
      <c r="K4" s="48"/>
      <c r="L4" s="48"/>
      <c r="M4" s="51"/>
      <c r="N4" s="51"/>
      <c r="O4" s="51"/>
      <c r="P4" s="46"/>
      <c r="Q4" s="51"/>
      <c r="R4" s="34"/>
      <c r="S4" s="2"/>
    </row>
    <row r="5" spans="1:19">
      <c r="A5" s="34"/>
      <c r="B5" s="47"/>
      <c r="C5" s="48"/>
      <c r="D5" s="49"/>
      <c r="E5" s="48"/>
      <c r="F5" s="50"/>
      <c r="G5" s="48"/>
      <c r="H5" s="48"/>
      <c r="I5" s="48"/>
      <c r="J5" s="50"/>
      <c r="K5" s="48"/>
      <c r="L5" s="48"/>
      <c r="M5" s="51"/>
      <c r="N5" s="51"/>
      <c r="O5" s="51"/>
      <c r="P5" s="46"/>
      <c r="Q5" s="51"/>
      <c r="R5" s="34"/>
      <c r="S5" s="2"/>
    </row>
    <row r="6" spans="1:19">
      <c r="A6" s="34"/>
      <c r="B6" s="47"/>
      <c r="C6" s="48"/>
      <c r="D6" s="49"/>
      <c r="E6" s="48"/>
      <c r="F6" s="48"/>
      <c r="G6" s="50"/>
      <c r="H6" s="48"/>
      <c r="I6" s="48"/>
      <c r="J6" s="50"/>
      <c r="K6" s="48"/>
      <c r="L6" s="48"/>
      <c r="M6" s="51"/>
      <c r="N6" s="51"/>
      <c r="O6" s="51"/>
      <c r="P6" s="46"/>
      <c r="Q6" s="51"/>
      <c r="R6" s="34"/>
      <c r="S6" s="2"/>
    </row>
    <row r="7" spans="1:19">
      <c r="A7" s="34"/>
      <c r="B7" s="47"/>
      <c r="C7" s="50"/>
      <c r="D7" s="49"/>
      <c r="E7" s="50"/>
      <c r="F7" s="48"/>
      <c r="G7" s="48"/>
      <c r="H7" s="48"/>
      <c r="I7" s="50"/>
      <c r="J7" s="48"/>
      <c r="K7" s="48"/>
      <c r="L7" s="48"/>
      <c r="M7" s="51"/>
      <c r="N7" s="51"/>
      <c r="O7" s="51"/>
      <c r="P7" s="46"/>
      <c r="Q7" s="51"/>
      <c r="R7" s="34"/>
      <c r="S7" s="2"/>
    </row>
    <row r="8" spans="1:19">
      <c r="A8" s="34"/>
      <c r="B8" s="47"/>
      <c r="C8" s="50"/>
      <c r="D8" s="49"/>
      <c r="E8" s="48"/>
      <c r="F8" s="50"/>
      <c r="G8" s="48"/>
      <c r="H8" s="48"/>
      <c r="I8" s="48"/>
      <c r="J8" s="50"/>
      <c r="K8" s="48"/>
      <c r="L8" s="48"/>
      <c r="M8" s="51"/>
      <c r="N8" s="51"/>
      <c r="O8" s="51"/>
      <c r="P8" s="46"/>
      <c r="Q8" s="51"/>
      <c r="R8" s="34"/>
      <c r="S8" s="2"/>
    </row>
    <row r="9" spans="1:19">
      <c r="A9" s="34"/>
      <c r="B9" s="47"/>
      <c r="C9" s="50"/>
      <c r="D9" s="49"/>
      <c r="E9" s="48"/>
      <c r="F9" s="48"/>
      <c r="G9" s="50"/>
      <c r="H9" s="48"/>
      <c r="I9" s="48"/>
      <c r="J9" s="50"/>
      <c r="K9" s="48"/>
      <c r="L9" s="48"/>
      <c r="M9" s="51"/>
      <c r="N9" s="51"/>
      <c r="O9" s="51"/>
      <c r="P9" s="46"/>
      <c r="Q9" s="51"/>
      <c r="R9" s="34"/>
      <c r="S9" s="2"/>
    </row>
    <row r="10" spans="1:19">
      <c r="A10" s="34"/>
      <c r="B10" s="47"/>
      <c r="C10" s="50"/>
      <c r="D10" s="49"/>
      <c r="E10" s="48"/>
      <c r="F10" s="50"/>
      <c r="G10" s="48"/>
      <c r="H10" s="48"/>
      <c r="I10" s="48"/>
      <c r="J10" s="48"/>
      <c r="K10" s="48"/>
      <c r="L10" s="48"/>
      <c r="M10" s="51"/>
      <c r="N10" s="51"/>
      <c r="O10" s="51"/>
      <c r="P10" s="46"/>
      <c r="Q10" s="51"/>
      <c r="R10" s="34"/>
      <c r="S10" s="2"/>
    </row>
    <row r="11" spans="1:19">
      <c r="A11" s="34"/>
      <c r="B11" s="47"/>
      <c r="C11" s="50"/>
      <c r="D11" s="49"/>
      <c r="E11" s="48"/>
      <c r="F11" s="48"/>
      <c r="G11" s="48"/>
      <c r="H11" s="48"/>
      <c r="I11" s="48"/>
      <c r="J11" s="48"/>
      <c r="K11" s="48"/>
      <c r="L11" s="48"/>
      <c r="M11" s="51"/>
      <c r="N11" s="51"/>
      <c r="O11" s="51"/>
      <c r="P11" s="46"/>
      <c r="Q11" s="51"/>
      <c r="R11" s="34"/>
      <c r="S11" s="2"/>
    </row>
    <row r="12" spans="1:19">
      <c r="A12" s="34"/>
      <c r="B12" s="47"/>
      <c r="C12" s="50"/>
      <c r="D12" s="49"/>
      <c r="E12" s="48"/>
      <c r="F12" s="48"/>
      <c r="G12" s="48"/>
      <c r="H12" s="48"/>
      <c r="I12" s="50"/>
      <c r="J12" s="50"/>
      <c r="K12" s="48"/>
      <c r="L12" s="48"/>
      <c r="M12" s="51"/>
      <c r="N12" s="51"/>
      <c r="O12" s="51"/>
      <c r="P12" s="46"/>
      <c r="Q12" s="51"/>
      <c r="R12" s="34"/>
      <c r="S12" s="2"/>
    </row>
    <row r="13" spans="1:19">
      <c r="A13" s="34"/>
      <c r="B13" s="35"/>
      <c r="C13" s="52"/>
      <c r="D13" s="53"/>
      <c r="E13" s="54"/>
      <c r="F13" s="55"/>
      <c r="G13" s="56"/>
      <c r="H13" s="57"/>
      <c r="I13" s="58"/>
      <c r="J13" s="59"/>
      <c r="K13" s="60"/>
      <c r="L13" s="61"/>
      <c r="M13" s="34"/>
      <c r="N13" s="62"/>
      <c r="O13" s="63"/>
      <c r="P13" s="36"/>
      <c r="Q13" s="63"/>
      <c r="R13" s="34"/>
      <c r="S13" s="2"/>
    </row>
    <row r="14" spans="1:19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64"/>
      <c r="N14" s="62"/>
      <c r="O14" s="63"/>
      <c r="P14" s="65"/>
      <c r="Q14" s="34"/>
      <c r="R14" s="34"/>
      <c r="S14" s="2"/>
    </row>
    <row r="15" spans="1:19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63"/>
      <c r="N15" s="62"/>
      <c r="O15" s="63"/>
      <c r="P15" s="36"/>
      <c r="Q15" s="34"/>
      <c r="R15" s="34"/>
      <c r="S15" s="2"/>
    </row>
    <row r="16" spans="1:19">
      <c r="A16" s="34"/>
      <c r="B16" s="3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7"/>
      <c r="N16" s="62"/>
      <c r="O16" s="63"/>
      <c r="P16" s="36"/>
      <c r="Q16" s="34"/>
      <c r="R16" s="34"/>
      <c r="S16" s="2"/>
    </row>
    <row r="17" spans="1:25">
      <c r="A17" s="34"/>
      <c r="B17" s="35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34"/>
      <c r="N17" s="34"/>
      <c r="O17" s="34"/>
      <c r="P17" s="35"/>
      <c r="Q17" s="34"/>
      <c r="R17" s="34"/>
      <c r="S17" s="2"/>
    </row>
    <row r="18" spans="1:25">
      <c r="A18" s="34"/>
      <c r="B18" s="35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8"/>
      <c r="N18" s="70"/>
      <c r="O18" s="1418"/>
      <c r="P18" s="1418"/>
      <c r="Q18" s="71"/>
      <c r="R18" s="34"/>
      <c r="S18" s="2"/>
    </row>
    <row r="19" spans="1:25">
      <c r="A19" s="34"/>
      <c r="B19" s="35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2"/>
      <c r="N19" s="70"/>
      <c r="O19" s="1418"/>
      <c r="P19" s="1418"/>
      <c r="Q19" s="73"/>
      <c r="R19" s="34"/>
      <c r="S19" s="2"/>
    </row>
    <row r="20" spans="1:25">
      <c r="A20" s="34"/>
      <c r="B20" s="74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2"/>
      <c r="N20" s="70"/>
      <c r="O20" s="1418"/>
      <c r="P20" s="1418"/>
      <c r="Q20" s="48"/>
      <c r="R20" s="34"/>
      <c r="S20" s="2"/>
    </row>
    <row r="21" spans="1:25">
      <c r="A21" s="34"/>
      <c r="B21" s="35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2"/>
      <c r="N21" s="70"/>
      <c r="O21" s="70"/>
      <c r="P21" s="34"/>
      <c r="Q21" s="76"/>
      <c r="R21" s="34"/>
      <c r="S21" s="2"/>
    </row>
    <row r="22" spans="1:25">
      <c r="A22" s="34"/>
      <c r="B22" s="35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72"/>
      <c r="N22" s="70"/>
      <c r="O22" s="1418"/>
      <c r="P22" s="1418"/>
      <c r="Q22" s="77"/>
      <c r="R22" s="34"/>
      <c r="S22" s="2"/>
    </row>
    <row r="23" spans="1:25">
      <c r="A23" s="34"/>
      <c r="B23" s="74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2"/>
      <c r="N23" s="70"/>
      <c r="O23" s="1418"/>
      <c r="P23" s="1418"/>
      <c r="Q23" s="77"/>
      <c r="R23" s="34"/>
      <c r="S23" s="2"/>
    </row>
    <row r="24" spans="1:25">
      <c r="A24" s="34"/>
      <c r="B24" s="47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2"/>
      <c r="N24" s="70"/>
      <c r="O24" s="70"/>
      <c r="P24" s="68"/>
      <c r="Q24" s="34"/>
      <c r="R24" s="34"/>
      <c r="S24" s="2"/>
    </row>
    <row r="25" spans="1:25">
      <c r="A25" s="2"/>
      <c r="B25" s="2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8"/>
      <c r="N25" s="27"/>
      <c r="O25" s="27"/>
      <c r="P25" s="26"/>
      <c r="Q25" s="2"/>
      <c r="R25" s="2"/>
      <c r="S25" s="2"/>
    </row>
    <row r="26" spans="1:25">
      <c r="A26" s="2"/>
      <c r="B26" s="6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8"/>
      <c r="N26" s="27"/>
      <c r="O26" s="27"/>
      <c r="P26" s="26"/>
      <c r="Q26" s="2"/>
      <c r="R26" s="2"/>
      <c r="S26" s="2"/>
    </row>
    <row r="27" spans="1:25">
      <c r="A27" s="2"/>
      <c r="B27" s="6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8"/>
      <c r="N27" s="27"/>
      <c r="O27" s="27"/>
      <c r="P27" s="26"/>
      <c r="Q27" s="10"/>
      <c r="R27" s="2"/>
      <c r="S27" s="2"/>
    </row>
    <row r="28" spans="1:25">
      <c r="A28" s="2"/>
      <c r="B28" s="6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8"/>
      <c r="N28" s="27"/>
      <c r="O28" s="27"/>
      <c r="P28" s="26"/>
      <c r="Q28" s="10"/>
      <c r="R28" s="2"/>
      <c r="S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7"/>
      <c r="N29" s="27"/>
      <c r="O29" s="27"/>
      <c r="P29" s="26"/>
      <c r="Q29" s="10"/>
      <c r="R29" s="2"/>
      <c r="S29" s="2"/>
    </row>
    <row r="30" spans="1:25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26"/>
      <c r="N30" s="27"/>
      <c r="O30" s="27"/>
      <c r="P30" s="27"/>
      <c r="Q30" s="10"/>
      <c r="R30" s="2"/>
      <c r="S30" s="2"/>
      <c r="Y30" s="1"/>
    </row>
    <row r="31" spans="1:25">
      <c r="A31" s="2"/>
      <c r="B31" s="25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30"/>
      <c r="N31" s="28"/>
      <c r="O31" s="31"/>
      <c r="P31" s="32"/>
      <c r="Q31" s="10"/>
      <c r="R31" s="2"/>
      <c r="S31" s="2"/>
    </row>
    <row r="32" spans="1:25">
      <c r="A32" s="2"/>
      <c r="B32" s="25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30"/>
      <c r="N32" s="28"/>
      <c r="O32" s="31"/>
      <c r="P32" s="32"/>
      <c r="Q32" s="10"/>
      <c r="R32" s="2"/>
      <c r="S32" s="2"/>
    </row>
    <row r="33" spans="1:22">
      <c r="A33" s="2"/>
      <c r="B33" s="25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  <c r="N33" s="28"/>
      <c r="O33" s="31"/>
      <c r="P33" s="32"/>
      <c r="Q33" s="10"/>
      <c r="R33" s="2"/>
      <c r="S33" s="2"/>
    </row>
    <row r="34" spans="1:22">
      <c r="A34" s="2"/>
      <c r="B34" s="2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30"/>
      <c r="N34" s="28"/>
      <c r="O34" s="31"/>
      <c r="P34" s="32"/>
      <c r="Q34" s="10"/>
      <c r="R34" s="2"/>
      <c r="S34" s="2"/>
    </row>
    <row r="35" spans="1:22">
      <c r="A35" s="2"/>
      <c r="B35" s="25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30"/>
      <c r="N35" s="28"/>
      <c r="O35" s="31"/>
      <c r="P35" s="32"/>
      <c r="Q35" s="10"/>
      <c r="R35" s="2"/>
      <c r="S35" s="2"/>
    </row>
    <row r="36" spans="1:22" ht="14" thickBot="1">
      <c r="A36" s="2"/>
      <c r="B36" s="25"/>
      <c r="C36" s="113"/>
      <c r="D36" s="107"/>
      <c r="E36" s="1415" t="str">
        <f>CONCATENATE(ROUND('IN (mmol|L)'!S14,1)," %")</f>
        <v>7,6 %</v>
      </c>
      <c r="F36" s="107"/>
      <c r="G36" s="111"/>
      <c r="H36" s="71"/>
      <c r="I36" s="71"/>
      <c r="J36" s="29"/>
      <c r="K36" s="113"/>
      <c r="L36" s="107"/>
      <c r="M36" s="1416" t="str">
        <f>CONCATENATE(ROUND('IN (mmol|L)'!S16,1)," %")</f>
        <v>7,5 %</v>
      </c>
      <c r="N36" s="107"/>
      <c r="O36" s="111"/>
      <c r="P36" s="30"/>
      <c r="Q36" s="28"/>
      <c r="R36" s="31"/>
      <c r="S36" s="32"/>
      <c r="T36" s="10"/>
      <c r="U36" s="2"/>
      <c r="V36" s="2"/>
    </row>
    <row r="37" spans="1:22" ht="13" customHeight="1">
      <c r="A37" s="1406" t="s">
        <v>25</v>
      </c>
      <c r="B37" s="1406"/>
      <c r="C37" s="114"/>
      <c r="D37" s="211"/>
      <c r="E37" s="1415"/>
      <c r="F37" s="211"/>
      <c r="G37" s="112"/>
      <c r="H37" s="110"/>
      <c r="I37" s="110"/>
      <c r="J37" s="110"/>
      <c r="K37" s="114"/>
      <c r="L37" s="211"/>
      <c r="M37" s="1416"/>
      <c r="N37" s="211"/>
      <c r="O37" s="112"/>
      <c r="P37" s="30"/>
      <c r="Q37" s="28"/>
      <c r="R37" s="31"/>
      <c r="S37" s="32"/>
      <c r="T37" s="10"/>
      <c r="U37" s="2"/>
      <c r="V37" s="2"/>
    </row>
    <row r="38" spans="1:22" ht="13.75" customHeight="1" thickBot="1">
      <c r="A38" s="1406"/>
      <c r="B38" s="1406"/>
      <c r="C38" s="116"/>
      <c r="D38" s="71"/>
      <c r="E38" s="71"/>
      <c r="F38" s="71"/>
      <c r="G38" s="113"/>
      <c r="H38" s="212"/>
      <c r="I38" s="1417" t="str">
        <f>CONCATENATE(ROUND('IN (mmol|L)'!S15,1)," %")</f>
        <v>7,8 %</v>
      </c>
      <c r="J38" s="212"/>
      <c r="K38" s="111"/>
      <c r="L38" s="71"/>
      <c r="M38" s="71"/>
      <c r="N38" s="71"/>
      <c r="O38" s="115"/>
      <c r="P38" s="30"/>
      <c r="Q38" s="28"/>
      <c r="R38" s="31"/>
      <c r="S38" s="32"/>
      <c r="T38" s="10"/>
      <c r="U38" s="2"/>
      <c r="V38" s="2"/>
    </row>
    <row r="39" spans="1:22" ht="18">
      <c r="A39" s="1407" t="s">
        <v>1</v>
      </c>
      <c r="B39" s="1408"/>
      <c r="C39" s="116"/>
      <c r="D39" s="71"/>
      <c r="E39" s="71"/>
      <c r="F39" s="71"/>
      <c r="G39" s="114"/>
      <c r="H39" s="108"/>
      <c r="I39" s="1415"/>
      <c r="J39" s="108"/>
      <c r="K39" s="112"/>
      <c r="L39" s="71"/>
      <c r="M39" s="71"/>
      <c r="N39" s="71"/>
      <c r="O39" s="115"/>
      <c r="P39" s="30"/>
      <c r="Q39" s="28"/>
      <c r="R39" s="31"/>
      <c r="S39" s="32"/>
      <c r="T39" s="10"/>
      <c r="U39" s="2"/>
      <c r="V39" s="2"/>
    </row>
    <row r="40" spans="1:22" ht="19" thickBot="1">
      <c r="A40" s="1413" t="s">
        <v>2</v>
      </c>
      <c r="B40" s="1414"/>
      <c r="C40" s="235"/>
      <c r="D40" s="109"/>
      <c r="E40" s="109"/>
      <c r="F40" s="109"/>
      <c r="G40" s="109"/>
      <c r="H40" s="109"/>
      <c r="I40" s="1417" t="str">
        <f>CONCATENATE(ROUND('IN (mmol|L)'!S13,1)," %")</f>
        <v>7,6 %</v>
      </c>
      <c r="J40" s="250"/>
      <c r="K40" s="109"/>
      <c r="L40" s="109"/>
      <c r="M40" s="109"/>
      <c r="N40" s="109"/>
      <c r="O40" s="237"/>
      <c r="P40" s="10"/>
      <c r="Q40" s="10"/>
      <c r="R40" s="10"/>
      <c r="S40" s="24"/>
      <c r="T40" s="10"/>
      <c r="U40" s="2"/>
      <c r="V40" s="2"/>
    </row>
    <row r="41" spans="1:22" ht="11.5" customHeight="1">
      <c r="A41" s="2"/>
      <c r="B41" s="2"/>
      <c r="C41" s="236"/>
      <c r="D41" s="117"/>
      <c r="E41" s="106"/>
      <c r="F41" s="106"/>
      <c r="G41" s="106"/>
      <c r="H41" s="106"/>
      <c r="I41" s="1415"/>
      <c r="J41" s="251"/>
      <c r="K41" s="106"/>
      <c r="L41" s="106"/>
      <c r="M41" s="117"/>
      <c r="N41" s="117"/>
      <c r="O41" s="238"/>
      <c r="P41" s="10"/>
      <c r="Q41" s="10"/>
      <c r="R41" s="10"/>
      <c r="S41" s="24"/>
      <c r="T41" s="10"/>
      <c r="U41" s="2"/>
      <c r="V41" s="2"/>
    </row>
    <row r="42" spans="1:22">
      <c r="A42" s="2"/>
      <c r="B42" s="2"/>
      <c r="C42" s="2"/>
      <c r="D42" s="25"/>
      <c r="E42" s="7"/>
      <c r="F42" s="7"/>
      <c r="G42" s="7"/>
      <c r="H42" s="2"/>
      <c r="I42" s="2"/>
      <c r="J42" s="2"/>
      <c r="K42" s="2"/>
      <c r="L42" s="2"/>
      <c r="M42" s="10"/>
      <c r="N42" s="10"/>
      <c r="O42" s="10"/>
      <c r="P42" s="24"/>
      <c r="Q42" s="10"/>
      <c r="R42" s="2"/>
      <c r="S42" s="2"/>
    </row>
    <row r="43" spans="1:22">
      <c r="A43" s="2"/>
      <c r="B43" s="2"/>
      <c r="C43" s="2"/>
      <c r="D43" s="25"/>
      <c r="E43" s="7"/>
      <c r="F43" s="7"/>
      <c r="G43" s="7"/>
      <c r="H43" s="2"/>
      <c r="I43" s="2"/>
      <c r="J43" s="2"/>
      <c r="K43" s="2"/>
      <c r="L43" s="2"/>
      <c r="M43" s="10"/>
      <c r="N43" s="10"/>
      <c r="O43" s="10"/>
      <c r="P43" s="24"/>
      <c r="Q43" s="10"/>
      <c r="R43" s="2"/>
      <c r="S43" s="2"/>
    </row>
    <row r="44" spans="1:22">
      <c r="A44" s="2"/>
      <c r="B44" s="2"/>
      <c r="C44" s="2"/>
      <c r="D44" s="25"/>
      <c r="E44" s="7"/>
      <c r="F44" s="7"/>
      <c r="G44" s="7"/>
      <c r="H44" s="2"/>
      <c r="I44" s="2"/>
      <c r="J44" s="2"/>
      <c r="K44" s="2"/>
      <c r="L44" s="2"/>
      <c r="M44" s="10"/>
      <c r="N44" s="10"/>
      <c r="O44" s="10"/>
      <c r="P44" s="24"/>
      <c r="Q44" s="10"/>
      <c r="R44" s="2"/>
      <c r="S44" s="2"/>
    </row>
    <row r="45" spans="1:22">
      <c r="A45" s="2"/>
      <c r="B45" s="2"/>
      <c r="C45" s="2"/>
      <c r="D45" s="25"/>
      <c r="E45" s="7"/>
      <c r="F45" s="7"/>
      <c r="G45" s="7"/>
      <c r="H45" s="2"/>
      <c r="I45" s="2"/>
      <c r="J45" s="2"/>
      <c r="K45" s="2"/>
      <c r="L45" s="2"/>
      <c r="M45" s="2"/>
      <c r="N45" s="2"/>
      <c r="O45" s="2"/>
      <c r="P45" s="6"/>
      <c r="Q45" s="2"/>
      <c r="R45" s="2"/>
      <c r="S45" s="2"/>
    </row>
    <row r="46" spans="1:22">
      <c r="A46" s="2"/>
      <c r="B46" s="2"/>
      <c r="C46" s="2"/>
      <c r="D46" s="25"/>
      <c r="E46" s="7"/>
      <c r="F46" s="7"/>
      <c r="G46" s="7"/>
      <c r="H46" s="2"/>
      <c r="I46" s="2"/>
      <c r="J46" s="2"/>
      <c r="K46" s="2"/>
      <c r="L46" s="2"/>
      <c r="M46" s="2"/>
      <c r="N46" s="2"/>
      <c r="O46" s="2"/>
      <c r="P46" s="6"/>
      <c r="Q46" s="2"/>
      <c r="R46" s="2"/>
      <c r="S46" s="2"/>
    </row>
    <row r="47" spans="1:22">
      <c r="A47" s="2"/>
      <c r="B47" s="2"/>
      <c r="C47" s="2"/>
      <c r="D47" s="25"/>
      <c r="E47" s="7"/>
      <c r="F47" s="7"/>
      <c r="G47" s="7"/>
      <c r="H47" s="2"/>
      <c r="I47" s="2"/>
      <c r="J47" s="2"/>
      <c r="K47" s="2"/>
      <c r="L47" s="2"/>
      <c r="M47" s="2"/>
      <c r="N47" s="2"/>
      <c r="O47" s="2"/>
      <c r="P47" s="6"/>
      <c r="Q47" s="2"/>
      <c r="R47" s="2"/>
      <c r="S47" s="2"/>
    </row>
    <row r="48" spans="1:22">
      <c r="A48" s="2"/>
      <c r="B48" s="2"/>
      <c r="C48" s="2"/>
      <c r="D48" s="25"/>
      <c r="E48" s="7"/>
      <c r="F48" s="7"/>
      <c r="G48" s="7"/>
      <c r="H48" s="2"/>
      <c r="I48" s="2"/>
      <c r="J48" s="2"/>
      <c r="K48" s="2"/>
      <c r="L48" s="2"/>
      <c r="M48" s="2"/>
      <c r="N48" s="2"/>
      <c r="O48" s="2"/>
      <c r="P48" s="6"/>
      <c r="Q48" s="2"/>
      <c r="R48" s="2"/>
      <c r="S48" s="2"/>
    </row>
    <row r="49" spans="1:19">
      <c r="A49" s="2"/>
      <c r="B49" s="2"/>
      <c r="C49" s="2"/>
      <c r="D49" s="25"/>
      <c r="E49" s="7"/>
      <c r="F49" s="7"/>
      <c r="G49" s="7"/>
      <c r="H49" s="2"/>
      <c r="I49" s="2"/>
      <c r="J49" s="2"/>
      <c r="K49" s="2"/>
      <c r="L49" s="2"/>
      <c r="M49" s="2"/>
      <c r="N49" s="2"/>
      <c r="O49" s="2"/>
      <c r="P49" s="6"/>
      <c r="Q49" s="2"/>
      <c r="R49" s="2"/>
      <c r="S49" s="2"/>
    </row>
    <row r="50" spans="1:19">
      <c r="A50" s="2"/>
      <c r="B50" s="2"/>
      <c r="C50" s="2"/>
      <c r="D50" s="25"/>
      <c r="E50" s="7"/>
      <c r="F50" s="7"/>
      <c r="G50" s="7"/>
      <c r="H50" s="2"/>
      <c r="I50" s="2"/>
      <c r="J50" s="2"/>
      <c r="K50" s="2"/>
      <c r="L50" s="2"/>
      <c r="M50" s="2"/>
      <c r="N50" s="2"/>
      <c r="O50" s="2"/>
      <c r="P50" s="6"/>
      <c r="Q50" s="2"/>
      <c r="R50" s="2"/>
      <c r="S50" s="2"/>
    </row>
    <row r="51" spans="1:19">
      <c r="A51" s="2"/>
      <c r="B51" s="2"/>
      <c r="C51" s="2"/>
      <c r="D51" s="3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6"/>
      <c r="Q51" s="2"/>
      <c r="R51" s="2"/>
      <c r="S51" s="2"/>
    </row>
    <row r="52" spans="1:19">
      <c r="A52" s="2"/>
      <c r="B52" s="2"/>
      <c r="C52" s="2"/>
      <c r="D52" s="3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6"/>
      <c r="Q52" s="2"/>
      <c r="R52" s="2"/>
      <c r="S52" s="2"/>
    </row>
    <row r="53" spans="1:19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6"/>
      <c r="Q53" s="2"/>
      <c r="R53" s="2"/>
      <c r="S53" s="2"/>
    </row>
    <row r="54" spans="1:19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6"/>
      <c r="Q54" s="2"/>
      <c r="R54" s="2"/>
      <c r="S54" s="2"/>
    </row>
    <row r="55" spans="1:19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6"/>
      <c r="Q55" s="2"/>
      <c r="R55" s="2"/>
      <c r="S55" s="2"/>
    </row>
    <row r="56" spans="1:19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6"/>
      <c r="Q56" s="2"/>
      <c r="R56" s="2"/>
      <c r="S56" s="2"/>
    </row>
    <row r="57" spans="1:19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6"/>
      <c r="Q57" s="2"/>
      <c r="R57" s="2"/>
      <c r="S57" s="2"/>
    </row>
    <row r="58" spans="1:19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6"/>
      <c r="Q58" s="2"/>
      <c r="R58" s="2"/>
      <c r="S58" s="2"/>
    </row>
    <row r="59" spans="1:1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6"/>
      <c r="Q59" s="2"/>
      <c r="R59" s="2"/>
      <c r="S59" s="2"/>
    </row>
    <row r="60" spans="1:19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6"/>
      <c r="Q60" s="2"/>
      <c r="R60" s="2"/>
      <c r="S60" s="2"/>
    </row>
    <row r="61" spans="1:19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6"/>
      <c r="Q61" s="2"/>
      <c r="R61" s="2"/>
      <c r="S61" s="2"/>
    </row>
    <row r="62" spans="1:19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6"/>
      <c r="Q62" s="2"/>
      <c r="R62" s="2"/>
      <c r="S62" s="2"/>
    </row>
    <row r="63" spans="1:19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6"/>
      <c r="Q63" s="2"/>
      <c r="R63" s="2"/>
      <c r="S63" s="2"/>
    </row>
    <row r="64" spans="1:19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6"/>
      <c r="Q64" s="2"/>
      <c r="R64" s="2"/>
      <c r="S64" s="2"/>
    </row>
    <row r="65" spans="1:19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6"/>
      <c r="Q65" s="2"/>
      <c r="R65" s="2"/>
      <c r="S65" s="2"/>
    </row>
    <row r="66" spans="1:19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6"/>
      <c r="Q66" s="2"/>
      <c r="R66" s="2"/>
      <c r="S66" s="2"/>
    </row>
    <row r="67" spans="1:19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6"/>
      <c r="Q67" s="2"/>
      <c r="R67" s="2"/>
      <c r="S67" s="2"/>
    </row>
    <row r="68" spans="1:19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6"/>
      <c r="Q68" s="2"/>
      <c r="R68" s="2"/>
      <c r="S68" s="2"/>
    </row>
    <row r="69" spans="1:1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6"/>
      <c r="Q69" s="2"/>
      <c r="R69" s="2"/>
      <c r="S69" s="2"/>
    </row>
    <row r="70" spans="1:19">
      <c r="A70" s="168" t="s">
        <v>93</v>
      </c>
      <c r="B70" s="169" t="str">
        <f>'IN (mmol|L)'!D$18</f>
        <v>I.E. / Basal</v>
      </c>
      <c r="C70" s="170" t="str">
        <f>'IN (mmol|L)'!D$19</f>
        <v>BE</v>
      </c>
      <c r="D70" s="170" t="s">
        <v>87</v>
      </c>
      <c r="E70" s="1411" t="str">
        <f>CONCATENATE('IN (mmol|L)'!D$20," / ",'IN (mmol|L)'!D$21," / ",'IN (mmol|L)'!D$22," / ",'IN (mmol|L)'!D$23)</f>
        <v>Sport / Krankheit / Besonderheiten / Sonstiges</v>
      </c>
      <c r="F70" s="1412"/>
      <c r="G70" s="1412"/>
      <c r="H70" s="1412"/>
      <c r="I70" s="1412"/>
      <c r="J70" s="1412"/>
      <c r="K70" s="1412"/>
      <c r="L70" s="1412"/>
      <c r="M70" s="1412"/>
      <c r="N70" s="1412"/>
      <c r="O70" s="2"/>
      <c r="P70" s="6"/>
      <c r="Q70" s="2"/>
      <c r="R70" s="2"/>
      <c r="S70" s="2"/>
    </row>
    <row r="71" spans="1:19" ht="39" customHeight="1">
      <c r="A71" s="309">
        <f>C$1</f>
        <v>41274</v>
      </c>
      <c r="B71" s="306" t="str">
        <f>IF('IN (mmol|L)'!$E$18=0,"",'IN (mmol|L)'!$E$18)</f>
        <v>15 - 10 - 09/ 10+15</v>
      </c>
      <c r="C71" s="307" t="str">
        <f>IF('IN (mmol|L)'!$E$19=0,"",'IN (mmol|L)'!$E$19)</f>
        <v>06 - 04 - 03</v>
      </c>
      <c r="D71" s="378" t="str">
        <f>IF(OR(B71="",C71=0),"",CONCATENATE(IF(LEFT(B71,2)*LEFT(C71,2)=0,"X",ROUND(LEFT(B71,2)/LEFT(C71,2),1))," - ",IF(MID(B71,6,2)*MID(C71,6,2)=0,"X",ROUND(MID(B71,6,2)/MID(C71,6,2),1))," - ",IF(MID(B71,11,2)*MID(C71,11,2)=0,"X",ROUND(MID(B71,11,2)/MID(C71,11,2),1))))</f>
        <v>2,5 - 2,5 - 3</v>
      </c>
      <c r="E71" s="1409" t="str">
        <f>CONCATENATE('IN (mmol|L)'!E$20," / ",'IN (mmol|L)'!E$21," / ",'IN (mmol|L)'!E$22," / ",'IN (mmol|L)'!E$23)</f>
        <v xml:space="preserve"> /  /  / </v>
      </c>
      <c r="F71" s="1410"/>
      <c r="G71" s="1410"/>
      <c r="H71" s="1410"/>
      <c r="I71" s="1410"/>
      <c r="J71" s="1410"/>
      <c r="K71" s="1410"/>
      <c r="L71" s="1410"/>
      <c r="M71" s="1410"/>
      <c r="N71" s="1410"/>
      <c r="O71" s="167"/>
      <c r="P71" s="6"/>
      <c r="Q71" s="2"/>
      <c r="R71" s="2"/>
      <c r="S71" s="2"/>
    </row>
    <row r="72" spans="1:19" ht="39" customHeight="1">
      <c r="A72" s="310">
        <f>D$1</f>
        <v>41281</v>
      </c>
      <c r="B72" s="302" t="str">
        <f>IF('IN (mmol|L)'!$F$18=0,"",'IN (mmol|L)'!$F$18)</f>
        <v>15 - 10 - 09/ 10+15</v>
      </c>
      <c r="C72" s="303" t="str">
        <f>IF('IN (mmol|L)'!$F$19=0,"",'IN (mmol|L)'!$F$19)</f>
        <v>06 - 04 - 03</v>
      </c>
      <c r="D72" s="379" t="str">
        <f>IF(OR(B72="",C72=0),"",CONCATENATE(IF(LEFT(B72,2)*LEFT(C72,2)=0,"X",ROUND(LEFT(B72,2)/LEFT(C72,2),1))," - ",IF(MID(B72,6,2)*MID(C72,6,2)=0,"X",ROUND(MID(B72,6,2)/MID(C72,6,2),1))," - ",IF(MID(B72,11,2)*MID(C72,11,2)=0,"X",ROUND(MID(B72,11,2)/MID(C72,11,2),1))))</f>
        <v>2,5 - 2,5 - 3</v>
      </c>
      <c r="E72" s="1402" t="str">
        <f>CONCATENATE('IN (mmol|L)'!F$20," / ",'IN (mmol|L)'!F$21," / ",'IN (mmol|L)'!F$22," / ",'IN (mmol|L)'!F$23)</f>
        <v xml:space="preserve"> /  /  / </v>
      </c>
      <c r="F72" s="1403"/>
      <c r="G72" s="1403"/>
      <c r="H72" s="1403"/>
      <c r="I72" s="1403"/>
      <c r="J72" s="1403"/>
      <c r="K72" s="1403"/>
      <c r="L72" s="1403"/>
      <c r="M72" s="1403"/>
      <c r="N72" s="1403"/>
      <c r="O72" s="167"/>
      <c r="P72" s="6"/>
      <c r="Q72" s="2"/>
      <c r="R72" s="2"/>
      <c r="S72" s="2"/>
    </row>
    <row r="73" spans="1:19" ht="39" customHeight="1">
      <c r="A73" s="310">
        <f>E$1</f>
        <v>41288</v>
      </c>
      <c r="B73" s="302" t="str">
        <f>IF('IN (mmol|L)'!$G$18=0,"",'IN (mmol|L)'!$G$18)</f>
        <v>15 - 10 - 09/ 10+15</v>
      </c>
      <c r="C73" s="303" t="str">
        <f>IF('IN (mmol|L)'!$G$19=0,"",'IN (mmol|L)'!$G$19)</f>
        <v>06 - 04 - 03</v>
      </c>
      <c r="D73" s="379" t="str">
        <f t="shared" ref="D73:D82" si="0">IF(OR(B73="",C73=0),"",CONCATENATE(IF(LEFT(B73,2)*LEFT(C73,2)=0,"X",ROUND(LEFT(B73,2)/LEFT(C73,2),1))," - ",IF(MID(B73,6,2)*MID(C73,6,2)=0,"X",ROUND(MID(B73,6,2)/MID(C73,6,2),1))," - ",IF(MID(B73,11,2)*MID(C73,11,2)=0,"X",ROUND(MID(B73,11,2)/MID(C73,11,2),1))))</f>
        <v>2,5 - 2,5 - 3</v>
      </c>
      <c r="E73" s="1402" t="str">
        <f>CONCATENATE('IN (mmol|L)'!G$20," / ",'IN (mmol|L)'!G$21," / ",'IN (mmol|L)'!G$22," / ",'IN (mmol|L)'!G$23)</f>
        <v xml:space="preserve"> /  /  / </v>
      </c>
      <c r="F73" s="1403"/>
      <c r="G73" s="1403"/>
      <c r="H73" s="1403"/>
      <c r="I73" s="1403"/>
      <c r="J73" s="1403"/>
      <c r="K73" s="1403"/>
      <c r="L73" s="1403"/>
      <c r="M73" s="1403"/>
      <c r="N73" s="1403"/>
      <c r="O73" s="167"/>
      <c r="P73" s="6"/>
      <c r="Q73" s="2"/>
      <c r="R73" s="2"/>
      <c r="S73" s="2"/>
    </row>
    <row r="74" spans="1:19" ht="39" customHeight="1">
      <c r="A74" s="310">
        <f>F$1</f>
        <v>41295</v>
      </c>
      <c r="B74" s="302" t="str">
        <f>IF('IN (mmol|L)'!$H$18=0,"",'IN (mmol|L)'!$H$18)</f>
        <v>15 - 10 - 09/ 10+15</v>
      </c>
      <c r="C74" s="303" t="str">
        <f>IF('IN (mmol|L)'!$H$19=0,"",'IN (mmol|L)'!$H$19)</f>
        <v>06 - 04 - 03</v>
      </c>
      <c r="D74" s="379" t="str">
        <f t="shared" si="0"/>
        <v>2,5 - 2,5 - 3</v>
      </c>
      <c r="E74" s="1402" t="str">
        <f>CONCATENATE('IN (mmol|L)'!H$20," / ",'IN (mmol|L)'!H$21," / ",'IN (mmol|L)'!H$22," / ",'IN (mmol|L)'!H$23)</f>
        <v xml:space="preserve"> /  /  / </v>
      </c>
      <c r="F74" s="1403"/>
      <c r="G74" s="1403"/>
      <c r="H74" s="1403"/>
      <c r="I74" s="1403"/>
      <c r="J74" s="1403"/>
      <c r="K74" s="1403"/>
      <c r="L74" s="1403"/>
      <c r="M74" s="1403"/>
      <c r="N74" s="1403"/>
      <c r="O74" s="167"/>
      <c r="P74" s="6"/>
      <c r="Q74" s="2"/>
      <c r="R74" s="2"/>
      <c r="S74" s="2"/>
    </row>
    <row r="75" spans="1:19" ht="39" customHeight="1">
      <c r="A75" s="310">
        <f>G$1</f>
        <v>41302</v>
      </c>
      <c r="B75" s="161" t="str">
        <f>IF('IN (mmol|L)'!$I$18=0,"",'IN (mmol|L)'!$I$18)</f>
        <v>15 - 10 - 09/ 10+15</v>
      </c>
      <c r="C75" s="162" t="str">
        <f>IF('IN (mmol|L)'!$I$19=0,"",'IN (mmol|L)'!$I$19)</f>
        <v>06 - 04 - 03</v>
      </c>
      <c r="D75" s="379" t="str">
        <f t="shared" si="0"/>
        <v>2,5 - 2,5 - 3</v>
      </c>
      <c r="E75" s="1400" t="str">
        <f>CONCATENATE('IN (mmol|L)'!I$20," / ",'IN (mmol|L)'!I$21," / ",'IN (mmol|L)'!I$22," / ",'IN (mmol|L)'!I$23)</f>
        <v xml:space="preserve"> /  /  / </v>
      </c>
      <c r="F75" s="1401"/>
      <c r="G75" s="1401"/>
      <c r="H75" s="1401"/>
      <c r="I75" s="1401"/>
      <c r="J75" s="1401"/>
      <c r="K75" s="1401"/>
      <c r="L75" s="1401"/>
      <c r="M75" s="1401"/>
      <c r="N75" s="1401"/>
      <c r="O75" s="167"/>
      <c r="P75" s="6"/>
      <c r="Q75" s="2"/>
      <c r="R75" s="2"/>
      <c r="S75" s="2"/>
    </row>
    <row r="76" spans="1:19" ht="39" customHeight="1">
      <c r="A76" s="310">
        <f>H$1</f>
        <v>41309</v>
      </c>
      <c r="B76" s="161" t="str">
        <f>IF('IN (mmol|L)'!$J$18=0,"",'IN (mmol|L)'!$J$18)</f>
        <v>15 - 10 - 09/ 10+15</v>
      </c>
      <c r="C76" s="162" t="str">
        <f>IF('IN (mmol|L)'!$J$19=0,"",'IN (mmol|L)'!$J$19)</f>
        <v>06 - 04 - 03</v>
      </c>
      <c r="D76" s="379" t="str">
        <f>IF(OR(B76="",C76=0),"",CONCATENATE(IF(LEFT(B76,2)*LEFT(C76,2)=0,"X",ROUND(LEFT(B76,2)/LEFT(C76,2),1))," - ",IF(MID(B76,6,2)*MID(C76,6,2)=0,"X",ROUND(MID(B76,6,2)/MID(C76,6,2),1))," - ",IF(MID(B76,11,2)*MID(C76,11,2)=0,"X",ROUND(MID(B76,11,2)/MID(C76,11,2),1))))</f>
        <v>2,5 - 2,5 - 3</v>
      </c>
      <c r="E76" s="1400" t="str">
        <f>CONCATENATE('IN (mmol|L)'!J$20," / ",'IN (mmol|L)'!J$21," / ",'IN (mmol|L)'!J$22," / ",'IN (mmol|L)'!J$23)</f>
        <v xml:space="preserve"> /  /  / </v>
      </c>
      <c r="F76" s="1401"/>
      <c r="G76" s="1401"/>
      <c r="H76" s="1401"/>
      <c r="I76" s="1401"/>
      <c r="J76" s="1401"/>
      <c r="K76" s="1401"/>
      <c r="L76" s="1401"/>
      <c r="M76" s="1401"/>
      <c r="N76" s="1401"/>
      <c r="O76" s="167"/>
      <c r="P76" s="6"/>
      <c r="Q76" s="2"/>
      <c r="R76" s="2"/>
      <c r="S76" s="2"/>
    </row>
    <row r="77" spans="1:19" ht="39" customHeight="1">
      <c r="A77" s="310">
        <f>I$1</f>
        <v>41316</v>
      </c>
      <c r="B77" s="161" t="str">
        <f>IF('IN (mmol|L)'!$K$18=0,"",'IN (mmol|L)'!$K$18)</f>
        <v>15 - 10 - 09/ 10+15</v>
      </c>
      <c r="C77" s="162" t="str">
        <f>IF('IN (mmol|L)'!$K$19=0,"",'IN (mmol|L)'!$K$19)</f>
        <v>06 - 04 - 03</v>
      </c>
      <c r="D77" s="379" t="str">
        <f t="shared" si="0"/>
        <v>2,5 - 2,5 - 3</v>
      </c>
      <c r="E77" s="1400" t="str">
        <f>CONCATENATE('IN (mmol|L)'!K$20," / ",'IN (mmol|L)'!K$21," / ",'IN (mmol|L)'!K$22," / ",'IN (mmol|L)'!K$23)</f>
        <v xml:space="preserve"> /  /  / </v>
      </c>
      <c r="F77" s="1401"/>
      <c r="G77" s="1401"/>
      <c r="H77" s="1401"/>
      <c r="I77" s="1401"/>
      <c r="J77" s="1401"/>
      <c r="K77" s="1401"/>
      <c r="L77" s="1401"/>
      <c r="M77" s="1401"/>
      <c r="N77" s="1401"/>
      <c r="O77" s="2"/>
      <c r="P77" s="6"/>
      <c r="Q77" s="2"/>
      <c r="R77" s="2"/>
      <c r="S77" s="2"/>
    </row>
    <row r="78" spans="1:19" ht="39" customHeight="1">
      <c r="A78" s="310">
        <f>J$1</f>
        <v>41323</v>
      </c>
      <c r="B78" s="161" t="str">
        <f>IF('IN (mmol|L)'!$L$18=0,"",'IN (mmol|L)'!$L$18)</f>
        <v>15 - 10 - 09/ 10+15</v>
      </c>
      <c r="C78" s="162" t="str">
        <f>IF('IN (mmol|L)'!$L$19=0,"",'IN (mmol|L)'!$L$19)</f>
        <v>06 - 04 - 03</v>
      </c>
      <c r="D78" s="379" t="str">
        <f t="shared" si="0"/>
        <v>2,5 - 2,5 - 3</v>
      </c>
      <c r="E78" s="1400" t="str">
        <f>CONCATENATE('IN (mmol|L)'!L$20," / ",'IN (mmol|L)'!L$21," / ",'IN (mmol|L)'!L$22," / ",'IN (mmol|L)'!L$23)</f>
        <v xml:space="preserve"> /  /  / </v>
      </c>
      <c r="F78" s="1401"/>
      <c r="G78" s="1401"/>
      <c r="H78" s="1401"/>
      <c r="I78" s="1401"/>
      <c r="J78" s="1401"/>
      <c r="K78" s="1401"/>
      <c r="L78" s="1401"/>
      <c r="M78" s="1401"/>
      <c r="N78" s="1401"/>
      <c r="O78" s="2"/>
      <c r="P78" s="6"/>
      <c r="Q78" s="2"/>
      <c r="R78" s="2"/>
      <c r="S78" s="2"/>
    </row>
    <row r="79" spans="1:19" ht="39" customHeight="1">
      <c r="A79" s="310">
        <f>K$1</f>
        <v>41330</v>
      </c>
      <c r="B79" s="161" t="str">
        <f>IF('IN (mmol|L)'!$M$18=0,"",'IN (mmol|L)'!$M$18)</f>
        <v>15 - 10 - 09/ 10+15</v>
      </c>
      <c r="C79" s="162" t="str">
        <f>IF('IN (mmol|L)'!$M$19=0,"",'IN (mmol|L)'!$M$19)</f>
        <v>06 - 04 - 03</v>
      </c>
      <c r="D79" s="379" t="str">
        <f t="shared" si="0"/>
        <v>2,5 - 2,5 - 3</v>
      </c>
      <c r="E79" s="1400" t="str">
        <f>CONCATENATE('IN (mmol|L)'!M$20," / ",'IN (mmol|L)'!M$21," / ",'IN (mmol|L)'!M$22," / ",'IN (mmol|L)'!M$23)</f>
        <v xml:space="preserve"> /  /  / </v>
      </c>
      <c r="F79" s="1401"/>
      <c r="G79" s="1401"/>
      <c r="H79" s="1401"/>
      <c r="I79" s="1401"/>
      <c r="J79" s="1401"/>
      <c r="K79" s="1401"/>
      <c r="L79" s="1401"/>
      <c r="M79" s="1401"/>
      <c r="N79" s="1401"/>
      <c r="O79" s="2"/>
      <c r="P79" s="6"/>
      <c r="Q79" s="2"/>
      <c r="R79" s="2"/>
      <c r="S79" s="2"/>
    </row>
    <row r="80" spans="1:19" ht="39" customHeight="1">
      <c r="A80" s="310">
        <f>L$1</f>
        <v>41337</v>
      </c>
      <c r="B80" s="381" t="str">
        <f>IF('IN (mmol|L)'!$N$18=0,"",'IN (mmol|L)'!$N$18)</f>
        <v>15 - 10 - 09/ 10+15</v>
      </c>
      <c r="C80" s="382" t="str">
        <f>IF('IN (mmol|L)'!$N$19=0,"",'IN (mmol|L)'!$N$19)</f>
        <v>06 - 04 - 03</v>
      </c>
      <c r="D80" s="383" t="str">
        <f t="shared" si="0"/>
        <v>2,5 - 2,5 - 3</v>
      </c>
      <c r="E80" s="1400" t="str">
        <f>CONCATENATE('IN (mmol|L)'!N$20," / ",'IN (mmol|L)'!N$21," / ",'IN (mmol|L)'!N$22," / ",'IN (mmol|L)'!N$23)</f>
        <v xml:space="preserve"> /  /  / </v>
      </c>
      <c r="F80" s="1401"/>
      <c r="G80" s="1401"/>
      <c r="H80" s="1401"/>
      <c r="I80" s="1401"/>
      <c r="J80" s="1401"/>
      <c r="K80" s="1401"/>
      <c r="L80" s="1401"/>
      <c r="M80" s="1401"/>
      <c r="N80" s="1401"/>
      <c r="O80" s="2"/>
      <c r="P80" s="6"/>
      <c r="Q80" s="2"/>
      <c r="R80" s="2"/>
      <c r="S80" s="2"/>
    </row>
    <row r="81" spans="1:19" ht="39" customHeight="1">
      <c r="A81" s="310">
        <f>M$1</f>
        <v>41344</v>
      </c>
      <c r="B81" s="161" t="str">
        <f>IF('IN (mmol|L)'!$O$18=0,"",'IN (mmol|L)'!$O$18)</f>
        <v>15 - 10 - 09/ 10+15</v>
      </c>
      <c r="C81" s="162" t="str">
        <f>IF('IN (mmol|L)'!$O$19=0,"",'IN (mmol|L)'!$O$19)</f>
        <v>06 - 04 - 03</v>
      </c>
      <c r="D81" s="379" t="str">
        <f t="shared" si="0"/>
        <v>2,5 - 2,5 - 3</v>
      </c>
      <c r="E81" s="1400" t="str">
        <f>CONCATENATE('IN (mmol|L)'!O$20," / ",'IN (mmol|L)'!O$21," / ",'IN (mmol|L)'!O$22," / ",'IN (mmol|L)'!O$23)</f>
        <v xml:space="preserve"> /  /  / </v>
      </c>
      <c r="F81" s="1401"/>
      <c r="G81" s="1401"/>
      <c r="H81" s="1401"/>
      <c r="I81" s="1401"/>
      <c r="J81" s="1401"/>
      <c r="K81" s="1401"/>
      <c r="L81" s="1401"/>
      <c r="M81" s="1401"/>
      <c r="N81" s="1401"/>
      <c r="O81" s="2"/>
      <c r="P81" s="6"/>
      <c r="Q81" s="2"/>
      <c r="R81" s="2"/>
      <c r="S81" s="2"/>
    </row>
    <row r="82" spans="1:19" ht="39" customHeight="1">
      <c r="A82" s="310">
        <f>N$1</f>
        <v>41351</v>
      </c>
      <c r="B82" s="381" t="str">
        <f>IF('IN (mmol|L)'!$P$18=0,"",'IN (mmol|L)'!$P$18)</f>
        <v>15 - 10 - 09/ 10+15</v>
      </c>
      <c r="C82" s="382" t="str">
        <f>IF('IN (mmol|L)'!$P$19=0,"",'IN (mmol|L)'!$P$19)</f>
        <v>06 - 04 - 03</v>
      </c>
      <c r="D82" s="383" t="str">
        <f t="shared" si="0"/>
        <v>2,5 - 2,5 - 3</v>
      </c>
      <c r="E82" s="1419" t="str">
        <f>CONCATENATE('IN (mmol|L)'!P$20," / ",'IN (mmol|L)'!P$21," / ",'IN (mmol|L)'!P$22," / ",'IN (mmol|L)'!P$23)</f>
        <v xml:space="preserve"> /  /  / </v>
      </c>
      <c r="F82" s="1420"/>
      <c r="G82" s="1420"/>
      <c r="H82" s="1420"/>
      <c r="I82" s="1420"/>
      <c r="J82" s="1420"/>
      <c r="K82" s="1420"/>
      <c r="L82" s="1420"/>
      <c r="M82" s="1420"/>
      <c r="N82" s="1420"/>
      <c r="O82" s="2"/>
      <c r="P82" s="6"/>
      <c r="Q82" s="2"/>
      <c r="R82" s="2"/>
      <c r="S82" s="2"/>
    </row>
    <row r="83" spans="1:19" ht="39" customHeight="1">
      <c r="A83" s="310">
        <f>O$1</f>
        <v>41358</v>
      </c>
      <c r="B83" s="381" t="str">
        <f>IF('IN (mmol|L)'!$Q$18=0,"",'IN (mmol|L)'!$Q$18)</f>
        <v>15 - 10 - 09/ 10+15</v>
      </c>
      <c r="C83" s="382" t="str">
        <f>IF('IN (mmol|L)'!$Q$19=0,"",'IN (mmol|L)'!$Q$19)</f>
        <v>06 - 04 - 03</v>
      </c>
      <c r="D83" s="389" t="str">
        <f>IF(OR(B83="",C83=0),"",CONCATENATE(IF(LEFT(B83,2)*LEFT(C83,2)=0,"X",ROUND(LEFT(B83,2)/LEFT(C83,2),1))," - ",IF(MID(B83,6,2)*MID(C83,6,2)=0,"X",ROUND(MID(B83,6,2)/MID(C83,6,2),1))," - ",IF(MID(B83,11,2)*MID(C83,11,2)=0,"X",ROUND(MID(B83,11,2)/MID(C83,11,2),1))))</f>
        <v>2,5 - 2,5 - 3</v>
      </c>
      <c r="E83" s="1419" t="str">
        <f>CONCATENATE('IN (mmol|L)'!Q$20," / ",'IN (mmol|L)'!Q$21," / ",'IN (mmol|L)'!Q$22," / ",'IN (mmol|L)'!Q$23)</f>
        <v xml:space="preserve"> /  /  / </v>
      </c>
      <c r="F83" s="1420"/>
      <c r="G83" s="1420"/>
      <c r="H83" s="1420"/>
      <c r="I83" s="1420"/>
      <c r="J83" s="1420"/>
      <c r="K83" s="1420"/>
      <c r="L83" s="1420"/>
      <c r="M83" s="1420"/>
      <c r="N83" s="1420"/>
      <c r="O83" s="2"/>
      <c r="P83" s="6"/>
      <c r="Q83" s="2"/>
      <c r="R83" s="2"/>
      <c r="S83" s="2"/>
    </row>
    <row r="84" spans="1:19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6"/>
      <c r="Q84" s="2"/>
      <c r="R84" s="2"/>
      <c r="S84" s="2"/>
    </row>
    <row r="85" spans="1:19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6"/>
      <c r="Q85" s="2"/>
      <c r="R85" s="2"/>
      <c r="S85" s="2"/>
    </row>
    <row r="86" spans="1:19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6"/>
      <c r="Q86" s="2"/>
      <c r="R86" s="2"/>
      <c r="S86" s="2"/>
    </row>
    <row r="87" spans="1:19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6"/>
      <c r="Q87" s="2"/>
      <c r="R87" s="2"/>
      <c r="S87" s="2"/>
    </row>
    <row r="88" spans="1:19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6"/>
      <c r="Q88" s="2"/>
      <c r="R88" s="2"/>
      <c r="S88" s="2"/>
    </row>
    <row r="89" spans="1:1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6"/>
      <c r="Q89" s="2"/>
      <c r="R89" s="2"/>
      <c r="S89" s="2"/>
    </row>
    <row r="90" spans="1:19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6"/>
      <c r="Q90" s="2"/>
      <c r="R90" s="2"/>
      <c r="S90" s="2"/>
    </row>
    <row r="91" spans="1:19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6"/>
      <c r="Q91" s="2"/>
      <c r="R91" s="2"/>
      <c r="S91" s="2"/>
    </row>
    <row r="92" spans="1:19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6"/>
      <c r="Q92" s="2"/>
      <c r="R92" s="2"/>
      <c r="S92" s="2"/>
    </row>
    <row r="93" spans="1:19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6"/>
      <c r="Q93" s="2"/>
      <c r="R93" s="2"/>
      <c r="S93" s="2"/>
    </row>
    <row r="94" spans="1:19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6"/>
      <c r="Q94" s="2"/>
      <c r="R94" s="2"/>
      <c r="S94" s="2"/>
    </row>
    <row r="95" spans="1:19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6"/>
      <c r="Q95" s="2"/>
      <c r="R95" s="2"/>
      <c r="S95" s="2"/>
    </row>
    <row r="96" spans="1:19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6"/>
      <c r="Q96" s="2"/>
      <c r="R96" s="2"/>
      <c r="S96" s="2"/>
    </row>
    <row r="97" spans="1:19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6"/>
      <c r="Q97" s="2"/>
      <c r="R97" s="2"/>
      <c r="S97" s="2"/>
    </row>
    <row r="98" spans="1:19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6"/>
      <c r="Q98" s="2"/>
      <c r="R98" s="2"/>
      <c r="S98" s="2"/>
    </row>
  </sheetData>
  <mergeCells count="27">
    <mergeCell ref="E76:N76"/>
    <mergeCell ref="E81:N81"/>
    <mergeCell ref="E82:N82"/>
    <mergeCell ref="E83:N83"/>
    <mergeCell ref="E79:N79"/>
    <mergeCell ref="E80:N80"/>
    <mergeCell ref="E78:N78"/>
    <mergeCell ref="E77:N77"/>
    <mergeCell ref="O23:P23"/>
    <mergeCell ref="O18:P18"/>
    <mergeCell ref="O19:P19"/>
    <mergeCell ref="O20:P20"/>
    <mergeCell ref="O22:P22"/>
    <mergeCell ref="E75:N75"/>
    <mergeCell ref="E74:N74"/>
    <mergeCell ref="E73:N73"/>
    <mergeCell ref="E72:N72"/>
    <mergeCell ref="A1:B1"/>
    <mergeCell ref="A37:B38"/>
    <mergeCell ref="A39:B39"/>
    <mergeCell ref="E71:N71"/>
    <mergeCell ref="E70:N70"/>
    <mergeCell ref="A40:B40"/>
    <mergeCell ref="E36:E37"/>
    <mergeCell ref="M36:M37"/>
    <mergeCell ref="I38:I39"/>
    <mergeCell ref="I40:I41"/>
  </mergeCells>
  <pageMargins left="0.13" right="0.13" top="0.19" bottom="0.24" header="0.14000000000000001" footer="0.13"/>
  <pageSetup paperSize="0" scale="53" orientation="portrait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 enableFormatConditionsCalculation="0">
    <tabColor rgb="FFFFCC99"/>
    <pageSetUpPr fitToPage="1"/>
  </sheetPr>
  <dimension ref="A1:Y101"/>
  <sheetViews>
    <sheetView showGridLines="0" showRowColHeaders="0" zoomScale="125" zoomScaleNormal="125" zoomScalePageLayoutView="125" workbookViewId="0">
      <selection activeCell="E73" sqref="E73:N73"/>
    </sheetView>
  </sheetViews>
  <sheetFormatPr baseColWidth="10" defaultRowHeight="13" x14ac:dyDescent="0"/>
  <cols>
    <col min="1" max="2" width="13" customWidth="1"/>
    <col min="3" max="15" width="15.1640625" customWidth="1"/>
    <col min="16" max="16" width="3.1640625" style="1" customWidth="1"/>
  </cols>
  <sheetData>
    <row r="1" spans="1:19" ht="28" customHeight="1">
      <c r="A1" s="1429" t="str">
        <f>'IN (mmol|L)'!R41</f>
        <v>II. Quartal</v>
      </c>
      <c r="B1" s="1430"/>
      <c r="C1" s="588">
        <f>'IN (mmol|L)'!E36</f>
        <v>41365</v>
      </c>
      <c r="D1" s="588">
        <f>'IN (mmol|L)'!F36</f>
        <v>41372</v>
      </c>
      <c r="E1" s="588">
        <f>'IN (mmol|L)'!G36</f>
        <v>41379</v>
      </c>
      <c r="F1" s="588">
        <f>'IN (mmol|L)'!H36</f>
        <v>41386</v>
      </c>
      <c r="G1" s="588">
        <f>'IN (mmol|L)'!I36</f>
        <v>41393</v>
      </c>
      <c r="H1" s="588">
        <f>'IN (mmol|L)'!J36</f>
        <v>41400</v>
      </c>
      <c r="I1" s="588">
        <f>'IN (mmol|L)'!K36</f>
        <v>41407</v>
      </c>
      <c r="J1" s="588">
        <f>'IN (mmol|L)'!L36</f>
        <v>41414</v>
      </c>
      <c r="K1" s="588">
        <f>'IN (mmol|L)'!M36</f>
        <v>41421</v>
      </c>
      <c r="L1" s="588">
        <f>'IN (mmol|L)'!N36</f>
        <v>41428</v>
      </c>
      <c r="M1" s="588">
        <f>'IN (mmol|L)'!O36</f>
        <v>41435</v>
      </c>
      <c r="N1" s="588">
        <f>'IN (mmol|L)'!P36</f>
        <v>41442</v>
      </c>
      <c r="O1" s="588">
        <f>'IN (mmol|L)'!Q36</f>
        <v>41449</v>
      </c>
      <c r="P1" s="106"/>
    </row>
    <row r="2" spans="1:19" ht="4.7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35"/>
      <c r="Q2" s="34"/>
      <c r="R2" s="34"/>
      <c r="S2" s="2"/>
    </row>
    <row r="3" spans="1:19">
      <c r="A3" s="34"/>
      <c r="B3" s="35"/>
      <c r="C3" s="36"/>
      <c r="D3" s="37"/>
      <c r="E3" s="38"/>
      <c r="F3" s="39"/>
      <c r="G3" s="40"/>
      <c r="H3" s="41"/>
      <c r="I3" s="42"/>
      <c r="J3" s="43"/>
      <c r="K3" s="44"/>
      <c r="L3" s="45"/>
      <c r="M3" s="46"/>
      <c r="N3" s="46"/>
      <c r="O3" s="46"/>
      <c r="P3" s="46"/>
      <c r="Q3" s="46"/>
      <c r="R3" s="34"/>
      <c r="S3" s="2"/>
    </row>
    <row r="4" spans="1:19">
      <c r="A4" s="34"/>
      <c r="B4" s="47"/>
      <c r="C4" s="48"/>
      <c r="D4" s="49"/>
      <c r="E4" s="50"/>
      <c r="F4" s="48"/>
      <c r="G4" s="48"/>
      <c r="H4" s="48"/>
      <c r="I4" s="48"/>
      <c r="J4" s="50"/>
      <c r="K4" s="48"/>
      <c r="L4" s="48"/>
      <c r="M4" s="51"/>
      <c r="N4" s="51"/>
      <c r="O4" s="51"/>
      <c r="P4" s="46"/>
      <c r="Q4" s="51"/>
      <c r="R4" s="34"/>
      <c r="S4" s="2"/>
    </row>
    <row r="5" spans="1:19">
      <c r="A5" s="34"/>
      <c r="B5" s="47"/>
      <c r="C5" s="48"/>
      <c r="D5" s="49"/>
      <c r="E5" s="48"/>
      <c r="F5" s="50"/>
      <c r="G5" s="48"/>
      <c r="H5" s="48"/>
      <c r="I5" s="48"/>
      <c r="J5" s="50"/>
      <c r="K5" s="48"/>
      <c r="L5" s="48"/>
      <c r="M5" s="51"/>
      <c r="N5" s="51"/>
      <c r="O5" s="51"/>
      <c r="P5" s="46"/>
      <c r="Q5" s="51"/>
      <c r="R5" s="34"/>
      <c r="S5" s="2"/>
    </row>
    <row r="6" spans="1:19">
      <c r="A6" s="34"/>
      <c r="B6" s="47"/>
      <c r="C6" s="48"/>
      <c r="D6" s="49"/>
      <c r="E6" s="48"/>
      <c r="F6" s="48"/>
      <c r="G6" s="50"/>
      <c r="H6" s="48"/>
      <c r="I6" s="48"/>
      <c r="J6" s="50"/>
      <c r="K6" s="48"/>
      <c r="L6" s="48"/>
      <c r="M6" s="51"/>
      <c r="N6" s="51"/>
      <c r="O6" s="51"/>
      <c r="P6" s="46"/>
      <c r="Q6" s="51"/>
      <c r="R6" s="34"/>
      <c r="S6" s="2"/>
    </row>
    <row r="7" spans="1:19">
      <c r="A7" s="34"/>
      <c r="B7" s="47"/>
      <c r="C7" s="50"/>
      <c r="D7" s="49"/>
      <c r="E7" s="50"/>
      <c r="F7" s="48"/>
      <c r="G7" s="48"/>
      <c r="H7" s="48"/>
      <c r="I7" s="50"/>
      <c r="J7" s="48"/>
      <c r="K7" s="48"/>
      <c r="L7" s="48"/>
      <c r="M7" s="51"/>
      <c r="N7" s="51"/>
      <c r="O7" s="51"/>
      <c r="P7" s="46"/>
      <c r="Q7" s="51"/>
      <c r="R7" s="34"/>
      <c r="S7" s="2"/>
    </row>
    <row r="8" spans="1:19">
      <c r="A8" s="34"/>
      <c r="B8" s="47"/>
      <c r="C8" s="50"/>
      <c r="D8" s="49"/>
      <c r="E8" s="48"/>
      <c r="F8" s="50"/>
      <c r="G8" s="48"/>
      <c r="H8" s="48"/>
      <c r="I8" s="48"/>
      <c r="J8" s="50"/>
      <c r="K8" s="48"/>
      <c r="L8" s="48"/>
      <c r="M8" s="51"/>
      <c r="N8" s="51"/>
      <c r="O8" s="51"/>
      <c r="P8" s="46"/>
      <c r="Q8" s="51"/>
      <c r="R8" s="34"/>
      <c r="S8" s="2"/>
    </row>
    <row r="9" spans="1:19">
      <c r="A9" s="34"/>
      <c r="B9" s="47"/>
      <c r="C9" s="50"/>
      <c r="D9" s="49"/>
      <c r="E9" s="48"/>
      <c r="F9" s="48"/>
      <c r="G9" s="50"/>
      <c r="H9" s="48"/>
      <c r="I9" s="48"/>
      <c r="J9" s="50"/>
      <c r="K9" s="48"/>
      <c r="L9" s="48"/>
      <c r="M9" s="51"/>
      <c r="N9" s="51"/>
      <c r="O9" s="51"/>
      <c r="P9" s="46"/>
      <c r="Q9" s="51"/>
      <c r="R9" s="34"/>
      <c r="S9" s="2"/>
    </row>
    <row r="10" spans="1:19">
      <c r="A10" s="34"/>
      <c r="B10" s="47"/>
      <c r="C10" s="50"/>
      <c r="D10" s="49"/>
      <c r="E10" s="48"/>
      <c r="F10" s="50"/>
      <c r="G10" s="48"/>
      <c r="H10" s="48"/>
      <c r="I10" s="48"/>
      <c r="J10" s="48"/>
      <c r="K10" s="48"/>
      <c r="L10" s="48"/>
      <c r="M10" s="51"/>
      <c r="N10" s="51"/>
      <c r="O10" s="51"/>
      <c r="P10" s="46"/>
      <c r="Q10" s="51"/>
      <c r="R10" s="34"/>
      <c r="S10" s="2"/>
    </row>
    <row r="11" spans="1:19">
      <c r="A11" s="34"/>
      <c r="B11" s="47"/>
      <c r="C11" s="50"/>
      <c r="D11" s="49"/>
      <c r="E11" s="48"/>
      <c r="F11" s="48"/>
      <c r="G11" s="48"/>
      <c r="H11" s="48"/>
      <c r="I11" s="48"/>
      <c r="J11" s="48"/>
      <c r="K11" s="48"/>
      <c r="L11" s="48"/>
      <c r="M11" s="51"/>
      <c r="N11" s="51"/>
      <c r="O11" s="51"/>
      <c r="P11" s="46"/>
      <c r="Q11" s="51"/>
      <c r="R11" s="34"/>
      <c r="S11" s="2"/>
    </row>
    <row r="12" spans="1:19">
      <c r="A12" s="34"/>
      <c r="B12" s="47"/>
      <c r="C12" s="50"/>
      <c r="D12" s="49"/>
      <c r="E12" s="48"/>
      <c r="F12" s="48"/>
      <c r="G12" s="48"/>
      <c r="H12" s="48"/>
      <c r="I12" s="50"/>
      <c r="J12" s="50"/>
      <c r="K12" s="48"/>
      <c r="L12" s="48"/>
      <c r="M12" s="51"/>
      <c r="N12" s="51"/>
      <c r="O12" s="51"/>
      <c r="P12" s="46"/>
      <c r="Q12" s="51"/>
      <c r="R12" s="34"/>
      <c r="S12" s="2"/>
    </row>
    <row r="13" spans="1:19">
      <c r="A13" s="34"/>
      <c r="B13" s="35"/>
      <c r="C13" s="52"/>
      <c r="D13" s="53"/>
      <c r="E13" s="54"/>
      <c r="F13" s="55"/>
      <c r="G13" s="56"/>
      <c r="H13" s="57"/>
      <c r="I13" s="58"/>
      <c r="J13" s="59"/>
      <c r="K13" s="60"/>
      <c r="L13" s="61"/>
      <c r="M13" s="34"/>
      <c r="N13" s="62"/>
      <c r="O13" s="63"/>
      <c r="P13" s="36"/>
      <c r="Q13" s="63"/>
      <c r="R13" s="34"/>
      <c r="S13" s="2"/>
    </row>
    <row r="14" spans="1:19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64"/>
      <c r="N14" s="62"/>
      <c r="O14" s="63"/>
      <c r="P14" s="65"/>
      <c r="Q14" s="34"/>
      <c r="R14" s="34"/>
      <c r="S14" s="2"/>
    </row>
    <row r="15" spans="1:19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63"/>
      <c r="N15" s="62"/>
      <c r="O15" s="63"/>
      <c r="P15" s="36"/>
      <c r="Q15" s="34"/>
      <c r="R15" s="34"/>
      <c r="S15" s="2"/>
    </row>
    <row r="16" spans="1:19">
      <c r="A16" s="34"/>
      <c r="B16" s="3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7"/>
      <c r="N16" s="62"/>
      <c r="O16" s="63"/>
      <c r="P16" s="36"/>
      <c r="Q16" s="34"/>
      <c r="R16" s="34"/>
      <c r="S16" s="2"/>
    </row>
    <row r="17" spans="1:25">
      <c r="A17" s="34"/>
      <c r="B17" s="35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34"/>
      <c r="N17" s="34"/>
      <c r="O17" s="34"/>
      <c r="P17" s="35"/>
      <c r="Q17" s="34"/>
      <c r="R17" s="34"/>
      <c r="S17" s="2"/>
    </row>
    <row r="18" spans="1:25">
      <c r="A18" s="34"/>
      <c r="B18" s="35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8"/>
      <c r="N18" s="70"/>
      <c r="O18" s="35"/>
      <c r="P18" s="35"/>
      <c r="Q18" s="71"/>
      <c r="R18" s="34"/>
      <c r="S18" s="2"/>
    </row>
    <row r="19" spans="1:25">
      <c r="A19" s="34"/>
      <c r="B19" s="35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2"/>
      <c r="N19" s="70"/>
      <c r="O19" s="35"/>
      <c r="P19" s="35"/>
      <c r="Q19" s="73"/>
      <c r="R19" s="34"/>
      <c r="S19" s="2"/>
    </row>
    <row r="20" spans="1:25">
      <c r="A20" s="34"/>
      <c r="B20" s="74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2"/>
      <c r="N20" s="70"/>
      <c r="O20" s="35"/>
      <c r="P20" s="35"/>
      <c r="Q20" s="48"/>
      <c r="R20" s="34"/>
      <c r="S20" s="2"/>
    </row>
    <row r="21" spans="1:25">
      <c r="A21" s="34"/>
      <c r="B21" s="35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2"/>
      <c r="N21" s="70"/>
      <c r="O21" s="70"/>
      <c r="P21" s="34"/>
      <c r="Q21" s="76"/>
      <c r="R21" s="34"/>
      <c r="S21" s="2"/>
    </row>
    <row r="22" spans="1:25">
      <c r="A22" s="34"/>
      <c r="B22" s="35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72"/>
      <c r="N22" s="70"/>
      <c r="O22" s="35"/>
      <c r="P22" s="35"/>
      <c r="Q22" s="77"/>
      <c r="R22" s="34"/>
      <c r="S22" s="2"/>
    </row>
    <row r="23" spans="1:25">
      <c r="A23" s="34"/>
      <c r="B23" s="74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2"/>
      <c r="N23" s="70"/>
      <c r="O23" s="35"/>
      <c r="P23" s="35"/>
      <c r="Q23" s="77"/>
      <c r="R23" s="34"/>
      <c r="S23" s="2"/>
    </row>
    <row r="24" spans="1:25">
      <c r="A24" s="34"/>
      <c r="B24" s="47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2"/>
      <c r="N24" s="70"/>
      <c r="O24" s="70"/>
      <c r="P24" s="68"/>
      <c r="Q24" s="34"/>
      <c r="R24" s="34"/>
      <c r="S24" s="2"/>
    </row>
    <row r="25" spans="1:25">
      <c r="A25" s="2"/>
      <c r="B25" s="2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8"/>
      <c r="N25" s="27"/>
      <c r="O25" s="27"/>
      <c r="P25" s="26"/>
      <c r="Q25" s="2"/>
      <c r="R25" s="2"/>
      <c r="S25" s="2"/>
    </row>
    <row r="26" spans="1:25">
      <c r="A26" s="2"/>
      <c r="B26" s="6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8"/>
      <c r="N26" s="27"/>
      <c r="O26" s="27"/>
      <c r="P26" s="26"/>
      <c r="Q26" s="2"/>
      <c r="R26" s="2"/>
      <c r="S26" s="2"/>
    </row>
    <row r="27" spans="1:25">
      <c r="A27" s="2"/>
      <c r="B27" s="6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8"/>
      <c r="N27" s="27"/>
      <c r="O27" s="27"/>
      <c r="P27" s="26"/>
      <c r="Q27" s="10"/>
      <c r="R27" s="2"/>
      <c r="S27" s="2"/>
    </row>
    <row r="28" spans="1:25">
      <c r="A28" s="2"/>
      <c r="B28" s="6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8"/>
      <c r="N28" s="27"/>
      <c r="O28" s="27"/>
      <c r="P28" s="26"/>
      <c r="Q28" s="10"/>
      <c r="R28" s="2"/>
      <c r="S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7"/>
      <c r="N29" s="27"/>
      <c r="O29" s="27"/>
      <c r="P29" s="26"/>
      <c r="Q29" s="10"/>
      <c r="R29" s="2"/>
      <c r="S29" s="2"/>
    </row>
    <row r="30" spans="1:25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26"/>
      <c r="N30" s="27"/>
      <c r="O30" s="27"/>
      <c r="P30" s="27"/>
      <c r="Q30" s="10"/>
      <c r="R30" s="2"/>
      <c r="S30" s="2"/>
      <c r="Y30" s="1"/>
    </row>
    <row r="31" spans="1:25">
      <c r="A31" s="2"/>
      <c r="B31" s="25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30"/>
      <c r="N31" s="28"/>
      <c r="O31" s="31"/>
      <c r="P31" s="32"/>
      <c r="Q31" s="10"/>
      <c r="R31" s="2"/>
      <c r="S31" s="2"/>
    </row>
    <row r="32" spans="1:25">
      <c r="A32" s="2"/>
      <c r="B32" s="25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30"/>
      <c r="N32" s="28"/>
      <c r="O32" s="31"/>
      <c r="P32" s="32"/>
      <c r="Q32" s="10"/>
      <c r="R32" s="2"/>
      <c r="S32" s="2"/>
    </row>
    <row r="33" spans="1:19">
      <c r="A33" s="2"/>
      <c r="B33" s="25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0"/>
      <c r="N33" s="28"/>
      <c r="O33" s="31"/>
      <c r="P33" s="32"/>
      <c r="Q33" s="10"/>
      <c r="R33" s="2"/>
      <c r="S33" s="2"/>
    </row>
    <row r="34" spans="1:19">
      <c r="A34" s="2"/>
      <c r="B34" s="2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30"/>
      <c r="N34" s="28"/>
      <c r="O34" s="31"/>
      <c r="P34" s="32"/>
      <c r="Q34" s="10"/>
      <c r="R34" s="2"/>
      <c r="S34" s="2"/>
    </row>
    <row r="35" spans="1:19">
      <c r="A35" s="2"/>
      <c r="B35" s="25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30"/>
      <c r="N35" s="28"/>
      <c r="O35" s="31"/>
      <c r="P35" s="32"/>
      <c r="Q35" s="10"/>
      <c r="R35" s="2"/>
      <c r="S35" s="2"/>
    </row>
    <row r="36" spans="1:19" ht="14" thickBot="1">
      <c r="A36" s="2"/>
      <c r="B36" s="25"/>
      <c r="C36" s="113"/>
      <c r="D36" s="107"/>
      <c r="E36" s="1415" t="str">
        <f>CONCATENATE(ROUND('IN (mmol|L)'!S37,1)," %")</f>
        <v>7 %</v>
      </c>
      <c r="F36" s="107"/>
      <c r="G36" s="111"/>
      <c r="H36" s="71"/>
      <c r="I36" s="71"/>
      <c r="J36" s="29"/>
      <c r="K36" s="113"/>
      <c r="L36" s="107"/>
      <c r="M36" s="1415" t="str">
        <f>CONCATENATE(ROUND('IN (mmol|L)'!S39,1)," %")</f>
        <v>7 %</v>
      </c>
      <c r="N36" s="107"/>
      <c r="O36" s="111"/>
      <c r="P36" s="32"/>
      <c r="Q36" s="10"/>
      <c r="R36" s="2"/>
      <c r="S36" s="2"/>
    </row>
    <row r="37" spans="1:19" ht="13" customHeight="1">
      <c r="A37" s="1431" t="s">
        <v>25</v>
      </c>
      <c r="B37" s="1431"/>
      <c r="C37" s="114"/>
      <c r="D37" s="211"/>
      <c r="E37" s="1415"/>
      <c r="F37" s="211"/>
      <c r="G37" s="112"/>
      <c r="H37" s="110"/>
      <c r="I37" s="110"/>
      <c r="J37" s="110"/>
      <c r="K37" s="114"/>
      <c r="L37" s="211"/>
      <c r="M37" s="1415"/>
      <c r="N37" s="211"/>
      <c r="O37" s="112"/>
      <c r="P37" s="32"/>
      <c r="Q37" s="10"/>
      <c r="R37" s="2"/>
      <c r="S37" s="2"/>
    </row>
    <row r="38" spans="1:19" ht="13.75" customHeight="1" thickBot="1">
      <c r="A38" s="1431"/>
      <c r="B38" s="1431"/>
      <c r="C38" s="116"/>
      <c r="D38" s="71"/>
      <c r="E38" s="71"/>
      <c r="F38" s="71"/>
      <c r="G38" s="113"/>
      <c r="H38" s="212"/>
      <c r="I38" s="1417" t="str">
        <f>CONCATENATE(ROUND('IN (mmol|L)'!S38,1)," %")</f>
        <v>7 %</v>
      </c>
      <c r="J38" s="212"/>
      <c r="K38" s="111"/>
      <c r="L38" s="71"/>
      <c r="M38" s="71"/>
      <c r="N38" s="71"/>
      <c r="O38" s="115"/>
      <c r="P38" s="32"/>
      <c r="Q38" s="10"/>
      <c r="R38" s="2"/>
      <c r="S38" s="2"/>
    </row>
    <row r="39" spans="1:19" ht="18">
      <c r="A39" s="1432" t="s">
        <v>1</v>
      </c>
      <c r="B39" s="1433"/>
      <c r="C39" s="116"/>
      <c r="D39" s="71"/>
      <c r="E39" s="71"/>
      <c r="F39" s="71"/>
      <c r="G39" s="114"/>
      <c r="H39" s="108"/>
      <c r="I39" s="1415"/>
      <c r="J39" s="108"/>
      <c r="K39" s="112"/>
      <c r="L39" s="71"/>
      <c r="M39" s="71"/>
      <c r="N39" s="71"/>
      <c r="O39" s="115"/>
      <c r="P39" s="32"/>
      <c r="Q39" s="10"/>
      <c r="R39" s="2"/>
      <c r="S39" s="2"/>
    </row>
    <row r="40" spans="1:19" ht="19" thickBot="1">
      <c r="A40" s="1434" t="s">
        <v>2</v>
      </c>
      <c r="B40" s="1435"/>
      <c r="C40" s="235"/>
      <c r="D40" s="109"/>
      <c r="E40" s="109"/>
      <c r="F40" s="109"/>
      <c r="G40" s="109"/>
      <c r="H40" s="109"/>
      <c r="I40" s="1425" t="str">
        <f>CONCATENATE(ROUND('IN (mmol|L)'!S36,1)," %")</f>
        <v>7 %</v>
      </c>
      <c r="J40" s="250"/>
      <c r="K40" s="109"/>
      <c r="L40" s="109"/>
      <c r="M40" s="109"/>
      <c r="N40" s="109"/>
      <c r="O40" s="237"/>
      <c r="P40" s="24"/>
      <c r="Q40" s="10"/>
      <c r="R40" s="2"/>
      <c r="S40" s="2"/>
    </row>
    <row r="41" spans="1:19" ht="11.5" customHeight="1">
      <c r="A41" s="2"/>
      <c r="B41" s="2"/>
      <c r="C41" s="236"/>
      <c r="D41" s="117"/>
      <c r="E41" s="106"/>
      <c r="F41" s="106"/>
      <c r="G41" s="106"/>
      <c r="H41" s="106"/>
      <c r="I41" s="1426"/>
      <c r="J41" s="251"/>
      <c r="K41" s="106"/>
      <c r="L41" s="106"/>
      <c r="M41" s="117"/>
      <c r="N41" s="117"/>
      <c r="O41" s="238"/>
      <c r="P41" s="24"/>
      <c r="Q41" s="10"/>
      <c r="R41" s="2"/>
      <c r="S41" s="2"/>
    </row>
    <row r="42" spans="1:19">
      <c r="A42" s="2"/>
      <c r="B42" s="2"/>
      <c r="C42" s="2"/>
      <c r="D42" s="25"/>
      <c r="E42" s="7"/>
      <c r="F42" s="7"/>
      <c r="G42" s="7"/>
      <c r="H42" s="2"/>
      <c r="I42" s="2"/>
      <c r="J42" s="2"/>
      <c r="K42" s="2"/>
      <c r="L42" s="2"/>
      <c r="M42" s="10"/>
      <c r="N42" s="10"/>
      <c r="O42" s="10"/>
      <c r="P42" s="24"/>
      <c r="Q42" s="10"/>
      <c r="R42" s="2"/>
      <c r="S42" s="2"/>
    </row>
    <row r="43" spans="1:19">
      <c r="A43" s="2"/>
      <c r="B43" s="2"/>
      <c r="C43" s="2"/>
      <c r="D43" s="25"/>
      <c r="E43" s="7"/>
      <c r="F43" s="7"/>
      <c r="G43" s="7"/>
      <c r="H43" s="2"/>
      <c r="I43" s="2"/>
      <c r="J43" s="2"/>
      <c r="K43" s="2"/>
      <c r="L43" s="2"/>
      <c r="M43" s="10"/>
      <c r="N43" s="10"/>
      <c r="O43" s="10"/>
      <c r="P43" s="24"/>
      <c r="Q43" s="10"/>
      <c r="R43" s="2"/>
      <c r="S43" s="2"/>
    </row>
    <row r="44" spans="1:19">
      <c r="A44" s="2"/>
      <c r="B44" s="2"/>
      <c r="C44" s="2"/>
      <c r="D44" s="25"/>
      <c r="E44" s="7"/>
      <c r="F44" s="7"/>
      <c r="G44" s="7"/>
      <c r="H44" s="2"/>
      <c r="I44" s="2"/>
      <c r="J44" s="2"/>
      <c r="K44" s="2"/>
      <c r="L44" s="2"/>
      <c r="M44" s="10"/>
      <c r="N44" s="10"/>
      <c r="O44" s="10"/>
      <c r="P44" s="24"/>
      <c r="Q44" s="10"/>
      <c r="R44" s="2"/>
      <c r="S44" s="2"/>
    </row>
    <row r="45" spans="1:19">
      <c r="A45" s="2"/>
      <c r="B45" s="2"/>
      <c r="C45" s="2"/>
      <c r="D45" s="25"/>
      <c r="E45" s="7"/>
      <c r="F45" s="7"/>
      <c r="G45" s="7"/>
      <c r="H45" s="2"/>
      <c r="I45" s="2"/>
      <c r="J45" s="2"/>
      <c r="K45" s="2"/>
      <c r="L45" s="2"/>
      <c r="M45" s="2"/>
      <c r="N45" s="2"/>
      <c r="O45" s="2"/>
      <c r="P45" s="6"/>
      <c r="Q45" s="2"/>
      <c r="R45" s="2"/>
      <c r="S45" s="2"/>
    </row>
    <row r="46" spans="1:19">
      <c r="A46" s="2"/>
      <c r="B46" s="2"/>
      <c r="C46" s="2"/>
      <c r="D46" s="25"/>
      <c r="E46" s="7"/>
      <c r="F46" s="7"/>
      <c r="G46" s="7"/>
      <c r="H46" s="2"/>
      <c r="I46" s="2"/>
      <c r="J46" s="2"/>
      <c r="K46" s="2"/>
      <c r="L46" s="2"/>
      <c r="M46" s="2"/>
      <c r="N46" s="2"/>
      <c r="O46" s="2"/>
      <c r="P46" s="6"/>
      <c r="Q46" s="2"/>
      <c r="R46" s="2"/>
      <c r="S46" s="2"/>
    </row>
    <row r="47" spans="1:19">
      <c r="A47" s="2"/>
      <c r="B47" s="2"/>
      <c r="C47" s="2"/>
      <c r="D47" s="25"/>
      <c r="E47" s="7"/>
      <c r="F47" s="7"/>
      <c r="G47" s="7"/>
      <c r="H47" s="2"/>
      <c r="I47" s="2"/>
      <c r="J47" s="2"/>
      <c r="K47" s="2"/>
      <c r="L47" s="2"/>
      <c r="M47" s="2"/>
      <c r="N47" s="2"/>
      <c r="O47" s="2"/>
      <c r="P47" s="6"/>
      <c r="Q47" s="2"/>
      <c r="R47" s="2"/>
      <c r="S47" s="2"/>
    </row>
    <row r="48" spans="1:19">
      <c r="A48" s="2"/>
      <c r="B48" s="2"/>
      <c r="C48" s="2"/>
      <c r="D48" s="25"/>
      <c r="E48" s="7"/>
      <c r="F48" s="7"/>
      <c r="G48" s="7"/>
      <c r="H48" s="2"/>
      <c r="I48" s="2"/>
      <c r="J48" s="2"/>
      <c r="K48" s="2"/>
      <c r="L48" s="2"/>
      <c r="M48" s="2"/>
      <c r="N48" s="2"/>
      <c r="O48" s="2"/>
      <c r="P48" s="6"/>
      <c r="Q48" s="2"/>
      <c r="R48" s="2"/>
      <c r="S48" s="2"/>
    </row>
    <row r="49" spans="1:19">
      <c r="A49" s="2"/>
      <c r="B49" s="2"/>
      <c r="C49" s="2"/>
      <c r="D49" s="25"/>
      <c r="E49" s="7"/>
      <c r="F49" s="7"/>
      <c r="G49" s="7"/>
      <c r="H49" s="2"/>
      <c r="I49" s="2"/>
      <c r="J49" s="2"/>
      <c r="K49" s="2"/>
      <c r="L49" s="2"/>
      <c r="M49" s="2"/>
      <c r="N49" s="2"/>
      <c r="O49" s="2"/>
      <c r="P49" s="6"/>
      <c r="Q49" s="2"/>
      <c r="R49" s="2"/>
      <c r="S49" s="2"/>
    </row>
    <row r="50" spans="1:19">
      <c r="A50" s="2"/>
      <c r="B50" s="2"/>
      <c r="C50" s="2"/>
      <c r="D50" s="25"/>
      <c r="E50" s="7"/>
      <c r="F50" s="7"/>
      <c r="G50" s="7"/>
      <c r="H50" s="2"/>
      <c r="I50" s="2"/>
      <c r="J50" s="2"/>
      <c r="K50" s="2"/>
      <c r="L50" s="2"/>
      <c r="M50" s="2"/>
      <c r="N50" s="2"/>
      <c r="O50" s="2"/>
      <c r="P50" s="6"/>
      <c r="Q50" s="2"/>
      <c r="R50" s="2"/>
      <c r="S50" s="2"/>
    </row>
    <row r="51" spans="1:19">
      <c r="A51" s="2"/>
      <c r="B51" s="2"/>
      <c r="C51" s="2"/>
      <c r="D51" s="3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6"/>
      <c r="Q51" s="2"/>
      <c r="R51" s="2"/>
      <c r="S51" s="2"/>
    </row>
    <row r="52" spans="1:19">
      <c r="A52" s="2"/>
      <c r="B52" s="2"/>
      <c r="C52" s="2"/>
      <c r="D52" s="3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6"/>
      <c r="Q52" s="2"/>
      <c r="R52" s="2"/>
      <c r="S52" s="2"/>
    </row>
    <row r="53" spans="1:19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6"/>
      <c r="Q53" s="2"/>
      <c r="R53" s="2"/>
      <c r="S53" s="2"/>
    </row>
    <row r="54" spans="1:19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6"/>
      <c r="Q54" s="2"/>
      <c r="R54" s="2"/>
      <c r="S54" s="2"/>
    </row>
    <row r="55" spans="1:19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6"/>
      <c r="Q55" s="2"/>
      <c r="R55" s="2"/>
      <c r="S55" s="2"/>
    </row>
    <row r="56" spans="1:19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6"/>
      <c r="Q56" s="2"/>
      <c r="R56" s="2"/>
      <c r="S56" s="2"/>
    </row>
    <row r="57" spans="1:19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6"/>
      <c r="Q57" s="2"/>
      <c r="R57" s="2"/>
      <c r="S57" s="2"/>
    </row>
    <row r="58" spans="1:19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6"/>
      <c r="Q58" s="2"/>
      <c r="R58" s="2"/>
      <c r="S58" s="2"/>
    </row>
    <row r="59" spans="1:1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6"/>
      <c r="Q59" s="2"/>
      <c r="R59" s="2"/>
      <c r="S59" s="2"/>
    </row>
    <row r="60" spans="1:19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6"/>
      <c r="Q60" s="2"/>
      <c r="R60" s="2"/>
      <c r="S60" s="2"/>
    </row>
    <row r="61" spans="1:19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6"/>
      <c r="Q61" s="2"/>
      <c r="R61" s="2"/>
      <c r="S61" s="2"/>
    </row>
    <row r="62" spans="1:19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6"/>
      <c r="Q62" s="2"/>
      <c r="R62" s="2"/>
      <c r="S62" s="2"/>
    </row>
    <row r="63" spans="1:19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6"/>
      <c r="Q63" s="2"/>
      <c r="R63" s="2"/>
      <c r="S63" s="2"/>
    </row>
    <row r="64" spans="1:19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6"/>
      <c r="Q64" s="2"/>
      <c r="R64" s="2"/>
      <c r="S64" s="2"/>
    </row>
    <row r="65" spans="1:19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6"/>
      <c r="Q65" s="2"/>
      <c r="R65" s="2"/>
      <c r="S65" s="2"/>
    </row>
    <row r="66" spans="1:19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6"/>
      <c r="Q66" s="2"/>
      <c r="R66" s="2"/>
      <c r="S66" s="2"/>
    </row>
    <row r="67" spans="1:19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6"/>
      <c r="Q67" s="2"/>
      <c r="R67" s="2"/>
      <c r="S67" s="2"/>
    </row>
    <row r="68" spans="1:19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6"/>
      <c r="Q68" s="2"/>
      <c r="R68" s="2"/>
      <c r="S68" s="2"/>
    </row>
    <row r="69" spans="1:1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6"/>
      <c r="Q69" s="2"/>
      <c r="R69" s="2"/>
      <c r="S69" s="2"/>
    </row>
    <row r="70" spans="1:19">
      <c r="A70" s="172" t="s">
        <v>93</v>
      </c>
      <c r="B70" s="173" t="str">
        <f>'IN (mmol|L)'!D$18</f>
        <v>I.E. / Basal</v>
      </c>
      <c r="C70" s="174" t="str">
        <f>'IN (mmol|L)'!D$19</f>
        <v>BE</v>
      </c>
      <c r="D70" s="174" t="s">
        <v>87</v>
      </c>
      <c r="E70" s="1436" t="str">
        <f>CONCATENATE('IN (mmol|L)'!D$20," / ",'IN (mmol|L)'!D$21," / ",'IN (mmol|L)'!D$22," / ",'IN (mmol|L)'!D$23)</f>
        <v>Sport / Krankheit / Besonderheiten / Sonstiges</v>
      </c>
      <c r="F70" s="1437"/>
      <c r="G70" s="1437"/>
      <c r="H70" s="1437"/>
      <c r="I70" s="1437"/>
      <c r="J70" s="1437"/>
      <c r="K70" s="1437"/>
      <c r="L70" s="1437"/>
      <c r="M70" s="1437"/>
      <c r="N70" s="1437"/>
      <c r="O70" s="2"/>
      <c r="P70" s="6"/>
      <c r="Q70" s="2"/>
      <c r="R70" s="2"/>
      <c r="S70" s="2"/>
    </row>
    <row r="71" spans="1:19" ht="39" customHeight="1">
      <c r="A71" s="986">
        <f>C$1</f>
        <v>41365</v>
      </c>
      <c r="B71" s="1295" t="str">
        <f>IF('IN (mmol|L)'!$E$41=0,"",'IN (mmol|L)'!$E$41)</f>
        <v>15 - 10 - 09/ 10+15</v>
      </c>
      <c r="C71" s="1296" t="str">
        <f>IF('IN (mmol|L)'!$E$42=0,"",'IN (mmol|L)'!$E$42)</f>
        <v>05 - 04 - 03</v>
      </c>
      <c r="D71" s="1297" t="str">
        <f>IF(OR(B71="",C71=0),"",CONCATENATE(IF(LEFT(B71,2)*LEFT(C71,2)=0,"X",ROUND(LEFT(B71,2)/LEFT(C71,2),1))," - ",IF(MID(B71,6,2)*MID(C71,6,2)=0,"X",ROUND(MID(B71,6,2)/MID(C71,6,2),1))," - ",IF(MID(B71,11,2)*MID(C71,11,2)=0,"X",ROUND(MID(B71,11,2)/MID(C71,11,2),1))))</f>
        <v>3 - 2,5 - 3</v>
      </c>
      <c r="E71" s="1423" t="str">
        <f>CONCATENATE('IN (mmol|L)'!E$43," / ",'IN (mmol|L)'!E$44," / ",'IN (mmol|L)'!E$45," / ",'IN (mmol|L)'!E$46)</f>
        <v xml:space="preserve"> /  /  / </v>
      </c>
      <c r="F71" s="1424"/>
      <c r="G71" s="1424"/>
      <c r="H71" s="1424"/>
      <c r="I71" s="1424"/>
      <c r="J71" s="1424"/>
      <c r="K71" s="1424"/>
      <c r="L71" s="1424"/>
      <c r="M71" s="1424"/>
      <c r="N71" s="1424"/>
      <c r="O71" s="2"/>
      <c r="P71" s="6"/>
      <c r="Q71" s="2"/>
      <c r="R71" s="2"/>
      <c r="S71" s="2"/>
    </row>
    <row r="72" spans="1:19" ht="39" customHeight="1">
      <c r="A72" s="987">
        <f>D$1</f>
        <v>41372</v>
      </c>
      <c r="B72" s="497" t="str">
        <f>IF('IN (mmol|L)'!$F$41=0,"",'IN (mmol|L)'!$F$41)</f>
        <v>15 - 10 - 09/ 10+15</v>
      </c>
      <c r="C72" s="498" t="str">
        <f>IF('IN (mmol|L)'!$F$42=0,"",'IN (mmol|L)'!$F$42)</f>
        <v>05 - 04 - 03</v>
      </c>
      <c r="D72" s="554" t="str">
        <f>IF(OR(B72="",C72=0),"",CONCATENATE(IF(LEFT(B72,2)*LEFT(C72,2)=0,"X",ROUND(LEFT(B72,2)/LEFT(C72,2),1))," - ",IF(MID(B72,6,2)*MID(C72,6,2)=0,"X",ROUND(MID(B72,6,2)/MID(C72,6,2),1))," - ",IF(MID(B72,11,2)*MID(C72,11,2)=0,"X",ROUND(MID(B72,11,2)/MID(C72,11,2),1))))</f>
        <v>3 - 2,5 - 3</v>
      </c>
      <c r="E72" s="1423" t="str">
        <f>CONCATENATE('IN (mmol|L)'!F$43," / ",'IN (mmol|L)'!F$44," / ",'IN (mmol|L)'!F$45," / ",'IN (mmol|L)'!F$46)</f>
        <v xml:space="preserve"> /  /  / </v>
      </c>
      <c r="F72" s="1424"/>
      <c r="G72" s="1424"/>
      <c r="H72" s="1424"/>
      <c r="I72" s="1424"/>
      <c r="J72" s="1424"/>
      <c r="K72" s="1424"/>
      <c r="L72" s="1424"/>
      <c r="M72" s="1424"/>
      <c r="N72" s="1424"/>
      <c r="O72" s="2"/>
      <c r="P72" s="6"/>
      <c r="Q72" s="2"/>
      <c r="R72" s="2"/>
      <c r="S72" s="2"/>
    </row>
    <row r="73" spans="1:19" ht="39" customHeight="1">
      <c r="A73" s="987">
        <f>E$1</f>
        <v>41379</v>
      </c>
      <c r="B73" s="497" t="str">
        <f>IF('IN (mmol|L)'!$G$41=0,"",'IN (mmol|L)'!$G$41)</f>
        <v>15 - 10 - 09/ 10+15</v>
      </c>
      <c r="C73" s="498" t="str">
        <f>IF('IN (mmol|L)'!$G$42=0,"",'IN (mmol|L)'!$G$42)</f>
        <v>05 - 04 - 03</v>
      </c>
      <c r="D73" s="554" t="str">
        <f t="shared" ref="D73:D78" si="0">IF(OR(B73="",C73=0),"",CONCATENATE(IF(LEFT(B73,2)*LEFT(C73,2)=0,"X",ROUND(LEFT(B73,2)/LEFT(C73,2),1))," - ",IF(MID(B73,6,2)*MID(C73,6,2)=0,"X",ROUND(MID(B73,6,2)/MID(C73,6,2),1))," - ",IF(MID(B73,11,2)*MID(C73,11,2)=0,"X",ROUND(MID(B73,11,2)/MID(C73,11,2),1))))</f>
        <v>3 - 2,5 - 3</v>
      </c>
      <c r="E73" s="1423" t="str">
        <f>CONCATENATE('IN (mmol|L)'!G$43," / ",'IN (mmol|L)'!G$44," / ",'IN (mmol|L)'!G$45," / ",'IN (mmol|L)'!G$46)</f>
        <v xml:space="preserve"> /  /  / </v>
      </c>
      <c r="F73" s="1424"/>
      <c r="G73" s="1424"/>
      <c r="H73" s="1424"/>
      <c r="I73" s="1424"/>
      <c r="J73" s="1424"/>
      <c r="K73" s="1424"/>
      <c r="L73" s="1424"/>
      <c r="M73" s="1424"/>
      <c r="N73" s="1424"/>
      <c r="O73" s="2"/>
      <c r="P73" s="6"/>
      <c r="Q73" s="2"/>
      <c r="R73" s="2"/>
      <c r="S73" s="2"/>
    </row>
    <row r="74" spans="1:19" ht="39" customHeight="1">
      <c r="A74" s="988">
        <f>F$1</f>
        <v>41386</v>
      </c>
      <c r="B74" s="497" t="str">
        <f>IF('IN (mmol|L)'!$H$41=0,"",'IN (mmol|L)'!$H$41)</f>
        <v>15 - 10 - 09/ 10+15</v>
      </c>
      <c r="C74" s="498" t="str">
        <f>IF('IN (mmol|L)'!$H$42=0,"",'IN (mmol|L)'!$H$42)</f>
        <v>05 - 04 - 03</v>
      </c>
      <c r="D74" s="554" t="str">
        <f t="shared" si="0"/>
        <v>3 - 2,5 - 3</v>
      </c>
      <c r="E74" s="1423" t="str">
        <f>CONCATENATE('IN (mmol|L)'!H$43," / ",'IN (mmol|L)'!H$44," / ",'IN (mmol|L)'!H$45," / ",'IN (mmol|L)'!H$46)</f>
        <v xml:space="preserve"> /  /  / </v>
      </c>
      <c r="F74" s="1424"/>
      <c r="G74" s="1424"/>
      <c r="H74" s="1424"/>
      <c r="I74" s="1424"/>
      <c r="J74" s="1424"/>
      <c r="K74" s="1424"/>
      <c r="L74" s="1424"/>
      <c r="M74" s="1424"/>
      <c r="N74" s="1424"/>
      <c r="O74" s="2"/>
      <c r="P74" s="6"/>
      <c r="Q74" s="2"/>
      <c r="R74" s="2"/>
      <c r="S74" s="2"/>
    </row>
    <row r="75" spans="1:19" ht="39" customHeight="1">
      <c r="A75" s="988">
        <f>G$1</f>
        <v>41393</v>
      </c>
      <c r="B75" s="497" t="str">
        <f>IF('IN (mmol|L)'!$I$41=0,"",'IN (mmol|L)'!$I$41)</f>
        <v>15 - 10 - 09/ 10+15</v>
      </c>
      <c r="C75" s="498" t="str">
        <f>IF('IN (mmol|L)'!$I$42=0,"",'IN (mmol|L)'!$I$42)</f>
        <v>05 - 04 - 03</v>
      </c>
      <c r="D75" s="554" t="str">
        <f t="shared" si="0"/>
        <v>3 - 2,5 - 3</v>
      </c>
      <c r="E75" s="1423" t="str">
        <f>CONCATENATE('IN (mmol|L)'!I$43," / ",'IN (mmol|L)'!I$44," / ",'IN (mmol|L)'!I$45," / ",'IN (mmol|L)'!I$46)</f>
        <v xml:space="preserve"> /  /  / </v>
      </c>
      <c r="F75" s="1424"/>
      <c r="G75" s="1424"/>
      <c r="H75" s="1424"/>
      <c r="I75" s="1424"/>
      <c r="J75" s="1424"/>
      <c r="K75" s="1424"/>
      <c r="L75" s="1424"/>
      <c r="M75" s="1424"/>
      <c r="N75" s="1424"/>
      <c r="O75" s="2"/>
      <c r="P75" s="6"/>
      <c r="Q75" s="2"/>
      <c r="R75" s="2"/>
      <c r="S75" s="2"/>
    </row>
    <row r="76" spans="1:19" ht="39" customHeight="1">
      <c r="A76" s="988">
        <f>H$1</f>
        <v>41400</v>
      </c>
      <c r="B76" s="550" t="str">
        <f>IF('IN (mmol|L)'!$J$41=0,"",'IN (mmol|L)'!$J$41)</f>
        <v>15 - 10 - 09/ 10+15</v>
      </c>
      <c r="C76" s="1567" t="str">
        <f>IF('IN (mmol|L)'!$J$42=0,"",'IN (mmol|L)'!$J$42)</f>
        <v>05 - 04 - 03</v>
      </c>
      <c r="D76" s="554" t="str">
        <f t="shared" si="0"/>
        <v>3 - 2,5 - 3</v>
      </c>
      <c r="E76" s="1423" t="str">
        <f>CONCATENATE('IN (mmol|L)'!J$43," / ",'IN (mmol|L)'!J$44," / ",'IN (mmol|L)'!J$45," / ",'IN (mmol|L)'!J$46)</f>
        <v xml:space="preserve"> /  /  / </v>
      </c>
      <c r="F76" s="1424"/>
      <c r="G76" s="1424"/>
      <c r="H76" s="1424"/>
      <c r="I76" s="1424"/>
      <c r="J76" s="1424"/>
      <c r="K76" s="1424"/>
      <c r="L76" s="1424"/>
      <c r="M76" s="1424"/>
      <c r="N76" s="1424"/>
      <c r="O76" s="2"/>
      <c r="P76" s="6"/>
      <c r="Q76" s="2"/>
      <c r="R76" s="2"/>
      <c r="S76" s="2"/>
    </row>
    <row r="77" spans="1:19" ht="39" customHeight="1">
      <c r="A77" s="1293">
        <f>I$1</f>
        <v>41407</v>
      </c>
      <c r="B77" s="555" t="str">
        <f>IF('IN (mmol|L)'!$K$41=0,"",'IN (mmol|L)'!$K$41)</f>
        <v>15 - 10 - 09/ 10+15</v>
      </c>
      <c r="C77" s="556" t="str">
        <f>IF('IN (mmol|L)'!$K$42=0,"",'IN (mmol|L)'!$K$42)</f>
        <v>05 - 04 - 03</v>
      </c>
      <c r="D77" s="557" t="str">
        <f t="shared" si="0"/>
        <v>3 - 2,5 - 3</v>
      </c>
      <c r="E77" s="1421" t="str">
        <f>CONCATENATE('IN (mmol|L)'!K$43," / ",'IN (mmol|L)'!G$45," / ",'IN (mmol|L)'!K$45," / ",'IN (mmol|L)'!K$46)</f>
        <v xml:space="preserve"> /  /  / </v>
      </c>
      <c r="F77" s="1422"/>
      <c r="G77" s="1422"/>
      <c r="H77" s="1422"/>
      <c r="I77" s="1422"/>
      <c r="J77" s="1422"/>
      <c r="K77" s="1422"/>
      <c r="L77" s="1422"/>
      <c r="M77" s="1422"/>
      <c r="N77" s="1422"/>
      <c r="O77" s="2"/>
      <c r="P77" s="6"/>
      <c r="Q77" s="2"/>
      <c r="R77" s="2"/>
      <c r="S77" s="2"/>
    </row>
    <row r="78" spans="1:19" ht="39" customHeight="1">
      <c r="A78" s="1294">
        <f>J$1</f>
        <v>41414</v>
      </c>
      <c r="B78" s="1295" t="str">
        <f>IF('IN (mmol|L)'!$L$41=0,"",'IN (mmol|L)'!$L$41)</f>
        <v>15 - 10 - 09/ 10+15</v>
      </c>
      <c r="C78" s="1296" t="str">
        <f>IF('IN (mmol|L)'!$L$42=0,"",'IN (mmol|L)'!$L$42)</f>
        <v>05 - 04 - 03</v>
      </c>
      <c r="D78" s="1297" t="str">
        <f t="shared" si="0"/>
        <v>3 - 2,5 - 3</v>
      </c>
      <c r="E78" s="1565" t="str">
        <f>CONCATENATE('IN (mmol|L)'!L$43," / ",'IN (mmol|L)'!L$44," / ",'IN (mmol|L)'!L$45," / ",'IN (mmol|L)'!L$46)</f>
        <v xml:space="preserve"> /  /  / </v>
      </c>
      <c r="F78" s="1566"/>
      <c r="G78" s="1566"/>
      <c r="H78" s="1566"/>
      <c r="I78" s="1566"/>
      <c r="J78" s="1566"/>
      <c r="K78" s="1566"/>
      <c r="L78" s="1566"/>
      <c r="M78" s="1566"/>
      <c r="N78" s="1566"/>
      <c r="O78" s="2"/>
      <c r="P78" s="6"/>
      <c r="Q78" s="2"/>
      <c r="R78" s="2"/>
      <c r="S78" s="2"/>
    </row>
    <row r="79" spans="1:19" ht="39" customHeight="1">
      <c r="A79" s="988">
        <f>K$1</f>
        <v>41421</v>
      </c>
      <c r="B79" s="497" t="str">
        <f>IF('IN (mmol|L)'!$M$41=0,"",'IN (mmol|L)'!$M$41)</f>
        <v>15 - 10 - 09/ 10+15</v>
      </c>
      <c r="C79" s="1567" t="str">
        <f>IF('IN (mmol|L)'!$M$42=0,"",'IN (mmol|L)'!$M$42)</f>
        <v>05 - 04 - 03</v>
      </c>
      <c r="D79" s="554" t="str">
        <f>IF(OR(B79="",C79=0),"",CONCATENATE(IF(LEFT(B79,2)*LEFT(C79,2)=0,"X",ROUND(LEFT(B79,2)/LEFT(C79,2),1))," - ",IF(MID(B79,6,2)*MID(C79,6,2)=0,"X",ROUND(MID(B79,6,2)/MID(C79,6,2),1))," - ",IF(MID(B79,11,2)*MID(C79,11,2)=0,"X",ROUND(MID(B79,11,2)/MID(C79,11,2),1))))</f>
        <v>3 - 2,5 - 3</v>
      </c>
      <c r="E79" s="1427" t="str">
        <f>CONCATENATE('IN (mmol|L)'!M$43," / ",'IN (mmol|L)'!M$44," / ",'IN (mmol|L)'!M$45," / ",'IN (mmol|L)'!M$46)</f>
        <v xml:space="preserve"> /  /  / </v>
      </c>
      <c r="F79" s="1428"/>
      <c r="G79" s="1428"/>
      <c r="H79" s="1428"/>
      <c r="I79" s="1428"/>
      <c r="J79" s="1428"/>
      <c r="K79" s="1428"/>
      <c r="L79" s="1428"/>
      <c r="M79" s="1428"/>
      <c r="N79" s="1428"/>
      <c r="O79" s="2"/>
      <c r="P79" s="6"/>
      <c r="Q79" s="2"/>
      <c r="R79" s="2"/>
      <c r="S79" s="2"/>
    </row>
    <row r="80" spans="1:19" ht="39" customHeight="1">
      <c r="A80" s="988">
        <f>L$1</f>
        <v>41428</v>
      </c>
      <c r="B80" s="497" t="str">
        <f>IF('IN (mmol|L)'!$N$41=0,"",'IN (mmol|L)'!$N$41)</f>
        <v>15 - 10 - 09/ 10+15</v>
      </c>
      <c r="C80" s="498" t="str">
        <f>IF('IN (mmol|L)'!$N$42=0,"",'IN (mmol|L)'!$N$42)</f>
        <v>05 - 04 - 03</v>
      </c>
      <c r="D80" s="554" t="str">
        <f>IF(OR(B80="",C80=0),"",CONCATENATE(IF(LEFT(B80,2)*LEFT(C80,2)=0,"X",ROUND(LEFT(B80,2)/LEFT(C80,2),1))," - ",IF(MID(B80,6,2)*MID(C80,6,2)=0,"X",ROUND(MID(B80,6,2)/MID(C80,6,2),1))," - ",IF(MID(B80,11,2)*MID(C80,11,2)=0,"X",ROUND(MID(B80,11,2)/MID(C80,11,2),1))))</f>
        <v>3 - 2,5 - 3</v>
      </c>
      <c r="E80" s="1427" t="str">
        <f>CONCATENATE('IN (mmol|L)'!N$43," / ",'IN (mmol|L)'!N$44," / ",'IN (mmol|L)'!N$45," / ",'IN (mmol|L)'!N$46)</f>
        <v xml:space="preserve"> /  /  / </v>
      </c>
      <c r="F80" s="1428"/>
      <c r="G80" s="1428"/>
      <c r="H80" s="1428"/>
      <c r="I80" s="1428"/>
      <c r="J80" s="1428"/>
      <c r="K80" s="1428"/>
      <c r="L80" s="1428"/>
      <c r="M80" s="1428"/>
      <c r="N80" s="1428"/>
      <c r="O80" s="2"/>
      <c r="P80" s="6"/>
      <c r="Q80" s="2"/>
      <c r="R80" s="2"/>
      <c r="S80" s="2"/>
    </row>
    <row r="81" spans="1:19" ht="39" customHeight="1">
      <c r="A81" s="988">
        <f>L$1</f>
        <v>41428</v>
      </c>
      <c r="B81" s="497" t="str">
        <f>IF('IN (mmol|L)'!$O$41=0,"",'IN (mmol|L)'!$O$41)</f>
        <v>15 - 10 - 09/ 10+15</v>
      </c>
      <c r="C81" s="498" t="str">
        <f>IF('IN (mmol|L)'!$O$42=0,"",'IN (mmol|L)'!$O$42)</f>
        <v>05 - 04 - 03</v>
      </c>
      <c r="D81" s="554" t="str">
        <f>IF(OR(B81="",C81=0),"",CONCATENATE(IF(LEFT(B81,2)*LEFT(C81,2)=0,"X",ROUND(LEFT(B81,2)/LEFT(C81,2),1))," - ",IF(MID(B81,6,2)*MID(C81,6,2)=0,"X",ROUND(MID(B81,6,2)/MID(C81,6,2),1))," - ",IF(MID(B81,11,2)*MID(C81,11,2)=0,"X",ROUND(MID(B81,11,2)/MID(C81,11,2),1))))</f>
        <v>3 - 2,5 - 3</v>
      </c>
      <c r="E81" s="1427" t="str">
        <f>CONCATENATE('IN (mmol|L)'!O$43," / ",'IN (mmol|L)'!O$44," / ",'IN (mmol|L)'!O$45," / ",'IN (mmol|L)'!O$46)</f>
        <v xml:space="preserve"> /  /  / </v>
      </c>
      <c r="F81" s="1428"/>
      <c r="G81" s="1428"/>
      <c r="H81" s="1428"/>
      <c r="I81" s="1428"/>
      <c r="J81" s="1428"/>
      <c r="K81" s="1428"/>
      <c r="L81" s="1428"/>
      <c r="M81" s="1428"/>
      <c r="N81" s="1428"/>
      <c r="O81" s="2"/>
      <c r="P81" s="6"/>
      <c r="Q81" s="2"/>
      <c r="R81" s="2"/>
      <c r="S81" s="2"/>
    </row>
    <row r="82" spans="1:19" ht="39" customHeight="1">
      <c r="A82" s="988">
        <f>L$1</f>
        <v>41428</v>
      </c>
      <c r="B82" s="497" t="str">
        <f>IF('IN (mmol|L)'!$P$41=0,"",'IN (mmol|L)'!$P$41)</f>
        <v>15 - 10 - 09/ 10+15</v>
      </c>
      <c r="C82" s="498" t="str">
        <f>IF('IN (mmol|L)'!$P$42=0,"",'IN (mmol|L)'!$P$42)</f>
        <v>05 - 04 - 03</v>
      </c>
      <c r="D82" s="554" t="str">
        <f>IF(OR(B82="",C82=0),"",CONCATENATE(IF(LEFT(B82,2)*LEFT(C82,2)=0,"X",ROUND(LEFT(B82,2)/LEFT(C82,2),1))," - ",IF(MID(B82,6,2)*MID(C82,6,2)=0,"X",ROUND(MID(B82,6,2)/MID(C82,6,2),1))," - ",IF(MID(B82,11,2)*MID(C82,11,2)=0,"X",ROUND(MID(B82,11,2)/MID(C82,11,2),1))))</f>
        <v>3 - 2,5 - 3</v>
      </c>
      <c r="E82" s="1427" t="str">
        <f>CONCATENATE('IN (mmol|L)'!P$43," / ",'IN (mmol|L)'!P$44," / ",'IN (mmol|L)'!P$45," / ",'IN (mmol|L)'!P$46)</f>
        <v xml:space="preserve"> /  /  / </v>
      </c>
      <c r="F82" s="1428"/>
      <c r="G82" s="1428"/>
      <c r="H82" s="1428"/>
      <c r="I82" s="1428"/>
      <c r="J82" s="1428"/>
      <c r="K82" s="1428"/>
      <c r="L82" s="1428"/>
      <c r="M82" s="1428"/>
      <c r="N82" s="1428"/>
      <c r="O82" s="2"/>
      <c r="P82" s="6"/>
      <c r="Q82" s="2"/>
      <c r="R82" s="2"/>
      <c r="S82" s="2"/>
    </row>
    <row r="83" spans="1:19" ht="39" customHeight="1">
      <c r="A83" s="989">
        <f>L$1</f>
        <v>41428</v>
      </c>
      <c r="B83" s="555" t="str">
        <f>IF('IN (mmol|L)'!$Q$41=0,"",'IN (mmol|L)'!$Q$41)</f>
        <v>15 - 10 - 09/ 10+15</v>
      </c>
      <c r="C83" s="556" t="str">
        <f>IF('IN (mmol|L)'!$Q$42=0,"",'IN (mmol|L)'!$Q$42)</f>
        <v>05 - 04 - 03</v>
      </c>
      <c r="D83" s="557" t="str">
        <f>IF(OR(B83="",C83=0),"",CONCATENATE(IF(LEFT(B83,2)*LEFT(C83,2)=0,"X",ROUND(LEFT(B83,2)/LEFT(C83,2),1))," - ",IF(MID(B83,6,2)*MID(C83,6,2)=0,"X",ROUND(MID(B83,6,2)/MID(C83,6,2),1))," - ",IF(MID(B83,11,2)*MID(C83,11,2)=0,"X",ROUND(MID(B83,11,2)/MID(C83,11,2),1))))</f>
        <v>3 - 2,5 - 3</v>
      </c>
      <c r="E83" s="1421" t="str">
        <f>CONCATENATE('IN (mmol|L)'!Q$43," / ",'IN (mmol|L)'!Q$44," / ",'IN (mmol|L)'!Q$45," / ",'IN (mmol|L)'!Q$46)</f>
        <v xml:space="preserve"> /  /  / </v>
      </c>
      <c r="F83" s="1422"/>
      <c r="G83" s="1422"/>
      <c r="H83" s="1422"/>
      <c r="I83" s="1422"/>
      <c r="J83" s="1422"/>
      <c r="K83" s="1422"/>
      <c r="L83" s="1422"/>
      <c r="M83" s="1422"/>
      <c r="N83" s="1422"/>
      <c r="O83" s="2"/>
      <c r="P83" s="6"/>
      <c r="Q83" s="2"/>
      <c r="R83" s="2"/>
      <c r="S83" s="2"/>
    </row>
    <row r="84" spans="1:19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6"/>
      <c r="Q84" s="2"/>
      <c r="R84" s="2"/>
      <c r="S84" s="2"/>
    </row>
    <row r="85" spans="1:19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6"/>
      <c r="Q85" s="2"/>
      <c r="R85" s="2"/>
      <c r="S85" s="2"/>
    </row>
    <row r="86" spans="1:19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6"/>
      <c r="Q86" s="2"/>
      <c r="R86" s="2"/>
      <c r="S86" s="2"/>
    </row>
    <row r="87" spans="1:19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6"/>
      <c r="Q87" s="2"/>
      <c r="R87" s="2"/>
      <c r="S87" s="2"/>
    </row>
    <row r="88" spans="1:19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6"/>
      <c r="Q88" s="2"/>
      <c r="R88" s="2"/>
      <c r="S88" s="2"/>
    </row>
    <row r="89" spans="1:1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6"/>
      <c r="Q89" s="2"/>
      <c r="R89" s="2"/>
      <c r="S89" s="2"/>
    </row>
    <row r="90" spans="1:19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6"/>
      <c r="Q90" s="2"/>
      <c r="R90" s="2"/>
      <c r="S90" s="2"/>
    </row>
    <row r="91" spans="1:19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6"/>
      <c r="Q91" s="2"/>
      <c r="R91" s="2"/>
      <c r="S91" s="2"/>
    </row>
    <row r="92" spans="1:19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6"/>
      <c r="Q92" s="2"/>
      <c r="R92" s="2"/>
      <c r="S92" s="2"/>
    </row>
    <row r="93" spans="1:19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6"/>
      <c r="Q93" s="2"/>
      <c r="R93" s="2"/>
      <c r="S93" s="2"/>
    </row>
    <row r="94" spans="1:19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6"/>
      <c r="Q94" s="2"/>
      <c r="R94" s="2"/>
      <c r="S94" s="2"/>
    </row>
    <row r="95" spans="1:19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6"/>
      <c r="Q95" s="2"/>
      <c r="R95" s="2"/>
      <c r="S95" s="2"/>
    </row>
    <row r="96" spans="1:19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6"/>
      <c r="Q96" s="2"/>
      <c r="R96" s="2"/>
      <c r="S96" s="2"/>
    </row>
    <row r="97" spans="1:19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6"/>
      <c r="Q97" s="2"/>
      <c r="R97" s="2"/>
      <c r="S97" s="2"/>
    </row>
    <row r="98" spans="1:19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6"/>
      <c r="Q98" s="2"/>
      <c r="R98" s="2"/>
      <c r="S98" s="2"/>
    </row>
    <row r="99" spans="1:1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6"/>
      <c r="Q99" s="2"/>
      <c r="R99" s="2"/>
      <c r="S99" s="2"/>
    </row>
    <row r="100" spans="1:19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6"/>
      <c r="Q100" s="2"/>
      <c r="R100" s="2"/>
      <c r="S100" s="2"/>
    </row>
    <row r="101" spans="1:19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6"/>
      <c r="Q101" s="2"/>
      <c r="R101" s="2"/>
      <c r="S101" s="2"/>
    </row>
  </sheetData>
  <mergeCells count="22">
    <mergeCell ref="E81:N81"/>
    <mergeCell ref="A1:B1"/>
    <mergeCell ref="A37:B38"/>
    <mergeCell ref="A39:B39"/>
    <mergeCell ref="A40:B40"/>
    <mergeCell ref="E70:N70"/>
    <mergeCell ref="E83:N83"/>
    <mergeCell ref="M36:M37"/>
    <mergeCell ref="E75:N75"/>
    <mergeCell ref="E76:N76"/>
    <mergeCell ref="E77:N77"/>
    <mergeCell ref="E78:N78"/>
    <mergeCell ref="I40:I41"/>
    <mergeCell ref="I38:I39"/>
    <mergeCell ref="E36:E37"/>
    <mergeCell ref="E74:N74"/>
    <mergeCell ref="E82:N82"/>
    <mergeCell ref="E71:N71"/>
    <mergeCell ref="E72:N72"/>
    <mergeCell ref="E73:N73"/>
    <mergeCell ref="E79:N79"/>
    <mergeCell ref="E80:N80"/>
  </mergeCells>
  <pageMargins left="0.13" right="0.13" top="0.19" bottom="0.24" header="0.14000000000000001" footer="0.13"/>
  <pageSetup paperSize="0" scale="53" orientation="portrait" horizontalDpi="4294967292" verticalDpi="4294967292"/>
  <headerFooter alignWithMargins="0"/>
  <ignoredErrors>
    <ignoredError sqref="E72 E73:N79 E80:N83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1" enableFormatConditionsCalculation="0">
    <tabColor rgb="FFFF99CC"/>
    <pageSetUpPr fitToPage="1"/>
  </sheetPr>
  <dimension ref="A1:AB134"/>
  <sheetViews>
    <sheetView showGridLines="0" showRowColHeaders="0" topLeftCell="A75" zoomScale="125" zoomScaleNormal="125" zoomScalePageLayoutView="125" workbookViewId="0">
      <selection activeCell="H36" sqref="H36"/>
    </sheetView>
  </sheetViews>
  <sheetFormatPr baseColWidth="10" defaultColWidth="10.83203125" defaultRowHeight="13" x14ac:dyDescent="0"/>
  <cols>
    <col min="1" max="2" width="13" style="608" customWidth="1"/>
    <col min="3" max="15" width="15.83203125" style="608" customWidth="1"/>
    <col min="16" max="16" width="3" style="608" customWidth="1"/>
    <col min="17" max="18" width="10.83203125" style="608"/>
    <col min="19" max="19" width="10.83203125" style="688" customWidth="1"/>
    <col min="20" max="16384" width="10.83203125" style="608"/>
  </cols>
  <sheetData>
    <row r="1" spans="1:22" ht="28" customHeight="1">
      <c r="A1" s="1438" t="str">
        <f>'IN (mmol|L)'!R64</f>
        <v>III. Quartal</v>
      </c>
      <c r="B1" s="1439"/>
      <c r="C1" s="859">
        <f>'IN (mmol|L)'!E59</f>
        <v>41456</v>
      </c>
      <c r="D1" s="859">
        <f>'IN (mmol|L)'!F59</f>
        <v>41463</v>
      </c>
      <c r="E1" s="859">
        <f>'IN (mmol|L)'!G59</f>
        <v>41470</v>
      </c>
      <c r="F1" s="859">
        <f>'IN (mmol|L)'!H59</f>
        <v>41477</v>
      </c>
      <c r="G1" s="859">
        <f>'IN (mmol|L)'!I59</f>
        <v>41484</v>
      </c>
      <c r="H1" s="859">
        <f>'IN (mmol|L)'!J59</f>
        <v>41491</v>
      </c>
      <c r="I1" s="859">
        <f>'IN (mmol|L)'!K59</f>
        <v>41498</v>
      </c>
      <c r="J1" s="859">
        <f>'IN (mmol|L)'!L59</f>
        <v>41505</v>
      </c>
      <c r="K1" s="859">
        <f>'IN (mmol|L)'!M59</f>
        <v>41512</v>
      </c>
      <c r="L1" s="859">
        <f>'IN (mmol|L)'!N59</f>
        <v>41519</v>
      </c>
      <c r="M1" s="859">
        <f>'IN (mmol|L)'!O59</f>
        <v>41526</v>
      </c>
      <c r="N1" s="859">
        <f>'IN (mmol|L)'!P59</f>
        <v>41533</v>
      </c>
      <c r="O1" s="859">
        <f>'IN (mmol|L)'!Q59</f>
        <v>41540</v>
      </c>
      <c r="P1" s="860"/>
    </row>
    <row r="2" spans="1:22" ht="4.75" customHeight="1">
      <c r="A2" s="861"/>
      <c r="B2" s="861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  <c r="O2" s="861"/>
      <c r="P2" s="862"/>
      <c r="Q2" s="862"/>
      <c r="R2" s="862"/>
      <c r="S2" s="863"/>
      <c r="T2" s="862"/>
      <c r="U2" s="862"/>
      <c r="V2" s="864"/>
    </row>
    <row r="3" spans="1:22">
      <c r="A3" s="862"/>
      <c r="B3" s="863"/>
      <c r="C3" s="865"/>
      <c r="D3" s="866"/>
      <c r="E3" s="867"/>
      <c r="F3" s="868"/>
      <c r="G3" s="869"/>
      <c r="H3" s="870"/>
      <c r="I3" s="871"/>
      <c r="J3" s="872"/>
      <c r="K3" s="873"/>
      <c r="L3" s="873"/>
      <c r="M3" s="873"/>
      <c r="N3" s="873"/>
      <c r="O3" s="874"/>
      <c r="P3" s="875"/>
      <c r="Q3" s="875"/>
      <c r="R3" s="875"/>
      <c r="S3" s="875"/>
      <c r="T3" s="875"/>
      <c r="U3" s="862"/>
      <c r="V3" s="864"/>
    </row>
    <row r="4" spans="1:22">
      <c r="A4" s="862"/>
      <c r="B4" s="876"/>
      <c r="C4" s="877"/>
      <c r="D4" s="878"/>
      <c r="E4" s="879"/>
      <c r="F4" s="877"/>
      <c r="G4" s="877"/>
      <c r="H4" s="877"/>
      <c r="I4" s="877"/>
      <c r="J4" s="879"/>
      <c r="K4" s="877"/>
      <c r="L4" s="877"/>
      <c r="M4" s="877"/>
      <c r="N4" s="877"/>
      <c r="O4" s="877"/>
      <c r="P4" s="880"/>
      <c r="Q4" s="880"/>
      <c r="R4" s="880"/>
      <c r="S4" s="875"/>
      <c r="T4" s="880"/>
      <c r="U4" s="862"/>
      <c r="V4" s="864"/>
    </row>
    <row r="5" spans="1:22">
      <c r="A5" s="862"/>
      <c r="B5" s="876"/>
      <c r="C5" s="877"/>
      <c r="D5" s="878"/>
      <c r="E5" s="877"/>
      <c r="F5" s="879"/>
      <c r="G5" s="877"/>
      <c r="H5" s="877"/>
      <c r="I5" s="877"/>
      <c r="J5" s="879"/>
      <c r="K5" s="877"/>
      <c r="L5" s="877"/>
      <c r="M5" s="877"/>
      <c r="N5" s="877"/>
      <c r="O5" s="877"/>
      <c r="P5" s="880"/>
      <c r="Q5" s="880"/>
      <c r="R5" s="880"/>
      <c r="S5" s="875"/>
      <c r="T5" s="880"/>
      <c r="U5" s="862"/>
      <c r="V5" s="864"/>
    </row>
    <row r="6" spans="1:22">
      <c r="A6" s="862"/>
      <c r="B6" s="876"/>
      <c r="C6" s="877"/>
      <c r="D6" s="878"/>
      <c r="E6" s="877"/>
      <c r="F6" s="877"/>
      <c r="G6" s="879"/>
      <c r="H6" s="877"/>
      <c r="I6" s="877"/>
      <c r="J6" s="879"/>
      <c r="K6" s="877"/>
      <c r="L6" s="877"/>
      <c r="M6" s="877"/>
      <c r="N6" s="877"/>
      <c r="O6" s="877"/>
      <c r="P6" s="880"/>
      <c r="Q6" s="880"/>
      <c r="R6" s="880"/>
      <c r="S6" s="875"/>
      <c r="T6" s="880"/>
      <c r="U6" s="862"/>
      <c r="V6" s="864"/>
    </row>
    <row r="7" spans="1:22">
      <c r="A7" s="862"/>
      <c r="B7" s="876"/>
      <c r="C7" s="879"/>
      <c r="D7" s="878"/>
      <c r="E7" s="879"/>
      <c r="F7" s="877"/>
      <c r="G7" s="877"/>
      <c r="H7" s="877"/>
      <c r="I7" s="879"/>
      <c r="J7" s="877"/>
      <c r="K7" s="877"/>
      <c r="L7" s="877"/>
      <c r="M7" s="877"/>
      <c r="N7" s="877"/>
      <c r="O7" s="877"/>
      <c r="P7" s="880"/>
      <c r="Q7" s="880"/>
      <c r="R7" s="880"/>
      <c r="S7" s="875"/>
      <c r="T7" s="880"/>
      <c r="U7" s="862"/>
      <c r="V7" s="864"/>
    </row>
    <row r="8" spans="1:22">
      <c r="A8" s="862"/>
      <c r="B8" s="876"/>
      <c r="C8" s="879"/>
      <c r="D8" s="878"/>
      <c r="E8" s="877"/>
      <c r="F8" s="879"/>
      <c r="G8" s="877"/>
      <c r="H8" s="877"/>
      <c r="I8" s="877"/>
      <c r="J8" s="879"/>
      <c r="K8" s="877"/>
      <c r="L8" s="877"/>
      <c r="M8" s="877"/>
      <c r="N8" s="877"/>
      <c r="O8" s="877"/>
      <c r="P8" s="880"/>
      <c r="Q8" s="880"/>
      <c r="R8" s="880"/>
      <c r="S8" s="875"/>
      <c r="T8" s="880"/>
      <c r="U8" s="862"/>
      <c r="V8" s="864"/>
    </row>
    <row r="9" spans="1:22">
      <c r="A9" s="862"/>
      <c r="B9" s="876"/>
      <c r="C9" s="879"/>
      <c r="D9" s="878"/>
      <c r="E9" s="877"/>
      <c r="F9" s="877"/>
      <c r="G9" s="879"/>
      <c r="H9" s="877"/>
      <c r="I9" s="877"/>
      <c r="J9" s="879"/>
      <c r="K9" s="877"/>
      <c r="L9" s="877"/>
      <c r="M9" s="877"/>
      <c r="N9" s="877"/>
      <c r="O9" s="877"/>
      <c r="P9" s="880"/>
      <c r="Q9" s="880"/>
      <c r="R9" s="880"/>
      <c r="S9" s="875"/>
      <c r="T9" s="880"/>
      <c r="U9" s="862"/>
      <c r="V9" s="864"/>
    </row>
    <row r="10" spans="1:22">
      <c r="A10" s="862"/>
      <c r="B10" s="876"/>
      <c r="C10" s="879"/>
      <c r="D10" s="878"/>
      <c r="E10" s="877"/>
      <c r="F10" s="879"/>
      <c r="G10" s="877"/>
      <c r="H10" s="877"/>
      <c r="I10" s="877"/>
      <c r="J10" s="877"/>
      <c r="K10" s="877"/>
      <c r="L10" s="877"/>
      <c r="M10" s="877"/>
      <c r="N10" s="877"/>
      <c r="O10" s="877"/>
      <c r="P10" s="880"/>
      <c r="Q10" s="880"/>
      <c r="R10" s="880"/>
      <c r="S10" s="875"/>
      <c r="T10" s="880"/>
      <c r="U10" s="862"/>
      <c r="V10" s="864"/>
    </row>
    <row r="11" spans="1:22">
      <c r="A11" s="862"/>
      <c r="B11" s="876"/>
      <c r="C11" s="879"/>
      <c r="D11" s="878"/>
      <c r="E11" s="877"/>
      <c r="F11" s="877"/>
      <c r="G11" s="877"/>
      <c r="H11" s="877"/>
      <c r="I11" s="877"/>
      <c r="J11" s="877"/>
      <c r="K11" s="877"/>
      <c r="L11" s="877"/>
      <c r="M11" s="877"/>
      <c r="N11" s="877"/>
      <c r="O11" s="877"/>
      <c r="P11" s="880"/>
      <c r="Q11" s="880"/>
      <c r="R11" s="880"/>
      <c r="S11" s="875"/>
      <c r="T11" s="880"/>
      <c r="U11" s="862"/>
      <c r="V11" s="864"/>
    </row>
    <row r="12" spans="1:22">
      <c r="A12" s="862"/>
      <c r="B12" s="876"/>
      <c r="C12" s="879"/>
      <c r="D12" s="878"/>
      <c r="E12" s="877"/>
      <c r="F12" s="877"/>
      <c r="G12" s="877"/>
      <c r="H12" s="877"/>
      <c r="I12" s="879"/>
      <c r="J12" s="879"/>
      <c r="K12" s="877"/>
      <c r="L12" s="877"/>
      <c r="M12" s="877"/>
      <c r="N12" s="877"/>
      <c r="O12" s="877"/>
      <c r="P12" s="880"/>
      <c r="Q12" s="880"/>
      <c r="R12" s="880"/>
      <c r="S12" s="875"/>
      <c r="T12" s="880"/>
      <c r="U12" s="862"/>
      <c r="V12" s="864"/>
    </row>
    <row r="13" spans="1:22">
      <c r="A13" s="862"/>
      <c r="B13" s="863"/>
      <c r="C13" s="881"/>
      <c r="D13" s="882"/>
      <c r="E13" s="883"/>
      <c r="F13" s="884"/>
      <c r="G13" s="885"/>
      <c r="H13" s="886"/>
      <c r="I13" s="887"/>
      <c r="J13" s="888"/>
      <c r="K13" s="889"/>
      <c r="L13" s="889"/>
      <c r="M13" s="889"/>
      <c r="N13" s="889"/>
      <c r="O13" s="890"/>
      <c r="P13" s="862"/>
      <c r="Q13" s="891"/>
      <c r="R13" s="892"/>
      <c r="S13" s="865"/>
      <c r="T13" s="892"/>
      <c r="U13" s="862"/>
      <c r="V13" s="864"/>
    </row>
    <row r="14" spans="1:22">
      <c r="A14" s="862"/>
      <c r="B14" s="863"/>
      <c r="C14" s="863"/>
      <c r="D14" s="863"/>
      <c r="E14" s="863"/>
      <c r="F14" s="863"/>
      <c r="G14" s="863"/>
      <c r="H14" s="863"/>
      <c r="I14" s="863"/>
      <c r="J14" s="863"/>
      <c r="K14" s="863"/>
      <c r="L14" s="863"/>
      <c r="M14" s="863"/>
      <c r="N14" s="863"/>
      <c r="O14" s="863"/>
      <c r="P14" s="893"/>
      <c r="Q14" s="891"/>
      <c r="R14" s="892"/>
      <c r="S14" s="894"/>
      <c r="T14" s="862"/>
      <c r="U14" s="862"/>
      <c r="V14" s="864"/>
    </row>
    <row r="15" spans="1:22">
      <c r="A15" s="862"/>
      <c r="B15" s="863"/>
      <c r="C15" s="863"/>
      <c r="D15" s="863"/>
      <c r="E15" s="863"/>
      <c r="F15" s="863"/>
      <c r="G15" s="863"/>
      <c r="H15" s="863"/>
      <c r="I15" s="863"/>
      <c r="J15" s="863"/>
      <c r="K15" s="863"/>
      <c r="L15" s="863"/>
      <c r="M15" s="863"/>
      <c r="N15" s="863"/>
      <c r="O15" s="863"/>
      <c r="P15" s="892"/>
      <c r="Q15" s="891"/>
      <c r="R15" s="892"/>
      <c r="S15" s="865"/>
      <c r="T15" s="862"/>
      <c r="U15" s="862"/>
      <c r="V15" s="864"/>
    </row>
    <row r="16" spans="1:22">
      <c r="A16" s="862"/>
      <c r="B16" s="863"/>
      <c r="C16" s="895"/>
      <c r="D16" s="895"/>
      <c r="E16" s="895"/>
      <c r="F16" s="895"/>
      <c r="G16" s="895"/>
      <c r="H16" s="895"/>
      <c r="I16" s="895"/>
      <c r="J16" s="895"/>
      <c r="K16" s="895"/>
      <c r="L16" s="895"/>
      <c r="M16" s="895"/>
      <c r="N16" s="895"/>
      <c r="O16" s="895"/>
      <c r="P16" s="896"/>
      <c r="Q16" s="891"/>
      <c r="R16" s="892"/>
      <c r="S16" s="865"/>
      <c r="T16" s="862"/>
      <c r="U16" s="862"/>
      <c r="V16" s="864"/>
    </row>
    <row r="17" spans="1:28">
      <c r="A17" s="862"/>
      <c r="B17" s="863"/>
      <c r="C17" s="897"/>
      <c r="D17" s="897"/>
      <c r="E17" s="897"/>
      <c r="F17" s="897"/>
      <c r="G17" s="897"/>
      <c r="H17" s="897"/>
      <c r="I17" s="897"/>
      <c r="J17" s="897"/>
      <c r="K17" s="897"/>
      <c r="L17" s="897"/>
      <c r="M17" s="897"/>
      <c r="N17" s="897"/>
      <c r="O17" s="897"/>
      <c r="P17" s="862"/>
      <c r="Q17" s="862"/>
      <c r="R17" s="862"/>
      <c r="S17" s="863"/>
      <c r="T17" s="862"/>
      <c r="U17" s="862"/>
      <c r="V17" s="864"/>
    </row>
    <row r="18" spans="1:28">
      <c r="A18" s="862"/>
      <c r="B18" s="863"/>
      <c r="C18" s="898"/>
      <c r="D18" s="898"/>
      <c r="E18" s="898"/>
      <c r="F18" s="898"/>
      <c r="G18" s="898"/>
      <c r="H18" s="898"/>
      <c r="I18" s="898"/>
      <c r="J18" s="898"/>
      <c r="K18" s="898"/>
      <c r="L18" s="898"/>
      <c r="M18" s="898"/>
      <c r="N18" s="898"/>
      <c r="O18" s="898"/>
      <c r="P18" s="897"/>
      <c r="Q18" s="899"/>
      <c r="R18" s="1440"/>
      <c r="S18" s="1440"/>
      <c r="T18" s="110"/>
      <c r="U18" s="862"/>
      <c r="V18" s="864"/>
    </row>
    <row r="19" spans="1:28">
      <c r="A19" s="862"/>
      <c r="B19" s="863"/>
      <c r="C19" s="898"/>
      <c r="D19" s="898"/>
      <c r="E19" s="898"/>
      <c r="F19" s="898"/>
      <c r="G19" s="898"/>
      <c r="H19" s="898"/>
      <c r="I19" s="898"/>
      <c r="J19" s="898"/>
      <c r="K19" s="898"/>
      <c r="L19" s="898"/>
      <c r="M19" s="898"/>
      <c r="N19" s="898"/>
      <c r="O19" s="898"/>
      <c r="P19" s="900"/>
      <c r="Q19" s="899"/>
      <c r="R19" s="1440"/>
      <c r="S19" s="1440"/>
      <c r="T19" s="901"/>
      <c r="U19" s="862"/>
      <c r="V19" s="864"/>
    </row>
    <row r="20" spans="1:28">
      <c r="A20" s="862"/>
      <c r="B20" s="902"/>
      <c r="C20" s="903"/>
      <c r="D20" s="903"/>
      <c r="E20" s="903"/>
      <c r="F20" s="903"/>
      <c r="G20" s="903"/>
      <c r="H20" s="903"/>
      <c r="I20" s="903"/>
      <c r="J20" s="903"/>
      <c r="K20" s="903"/>
      <c r="L20" s="903"/>
      <c r="M20" s="903"/>
      <c r="N20" s="903"/>
      <c r="O20" s="903"/>
      <c r="P20" s="900"/>
      <c r="Q20" s="899"/>
      <c r="R20" s="1440"/>
      <c r="S20" s="1440"/>
      <c r="T20" s="877"/>
      <c r="U20" s="862"/>
      <c r="V20" s="864"/>
    </row>
    <row r="21" spans="1:28">
      <c r="A21" s="862"/>
      <c r="B21" s="863"/>
      <c r="C21" s="898"/>
      <c r="D21" s="898"/>
      <c r="E21" s="898"/>
      <c r="F21" s="898"/>
      <c r="G21" s="898"/>
      <c r="H21" s="898"/>
      <c r="I21" s="898"/>
      <c r="J21" s="898"/>
      <c r="K21" s="898"/>
      <c r="L21" s="898"/>
      <c r="M21" s="898"/>
      <c r="N21" s="898"/>
      <c r="O21" s="898"/>
      <c r="P21" s="900"/>
      <c r="Q21" s="899"/>
      <c r="R21" s="899"/>
      <c r="S21" s="862"/>
      <c r="T21" s="904"/>
      <c r="U21" s="862"/>
      <c r="V21" s="864"/>
    </row>
    <row r="22" spans="1:28">
      <c r="A22" s="862"/>
      <c r="B22" s="863"/>
      <c r="C22" s="898"/>
      <c r="D22" s="898"/>
      <c r="E22" s="898"/>
      <c r="F22" s="898"/>
      <c r="G22" s="898"/>
      <c r="H22" s="898"/>
      <c r="I22" s="898"/>
      <c r="J22" s="898"/>
      <c r="K22" s="898"/>
      <c r="L22" s="898"/>
      <c r="M22" s="898"/>
      <c r="N22" s="898"/>
      <c r="O22" s="898"/>
      <c r="P22" s="900"/>
      <c r="Q22" s="899"/>
      <c r="R22" s="1440"/>
      <c r="S22" s="1440"/>
      <c r="T22" s="905"/>
      <c r="U22" s="862"/>
      <c r="V22" s="864"/>
    </row>
    <row r="23" spans="1:28">
      <c r="A23" s="862"/>
      <c r="B23" s="902"/>
      <c r="C23" s="903"/>
      <c r="D23" s="903"/>
      <c r="E23" s="903"/>
      <c r="F23" s="903"/>
      <c r="G23" s="903"/>
      <c r="H23" s="903"/>
      <c r="I23" s="903"/>
      <c r="J23" s="903"/>
      <c r="K23" s="903"/>
      <c r="L23" s="903"/>
      <c r="M23" s="903"/>
      <c r="N23" s="903"/>
      <c r="O23" s="903"/>
      <c r="P23" s="900"/>
      <c r="Q23" s="899"/>
      <c r="R23" s="1440"/>
      <c r="S23" s="1440"/>
      <c r="T23" s="905"/>
      <c r="U23" s="862"/>
      <c r="V23" s="864"/>
    </row>
    <row r="24" spans="1:28">
      <c r="A24" s="862"/>
      <c r="B24" s="876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900"/>
      <c r="Q24" s="899"/>
      <c r="R24" s="899"/>
      <c r="S24" s="897"/>
      <c r="T24" s="862"/>
      <c r="U24" s="862"/>
      <c r="V24" s="864"/>
    </row>
    <row r="25" spans="1:28">
      <c r="A25" s="864"/>
      <c r="B25" s="906"/>
      <c r="C25" s="907"/>
      <c r="D25" s="907"/>
      <c r="E25" s="907"/>
      <c r="F25" s="907"/>
      <c r="G25" s="907"/>
      <c r="H25" s="907"/>
      <c r="I25" s="907"/>
      <c r="J25" s="907"/>
      <c r="K25" s="907"/>
      <c r="L25" s="907"/>
      <c r="M25" s="907"/>
      <c r="N25" s="907"/>
      <c r="O25" s="907"/>
      <c r="P25" s="908"/>
      <c r="Q25" s="909"/>
      <c r="R25" s="909"/>
      <c r="S25" s="910"/>
      <c r="T25" s="864"/>
      <c r="U25" s="864"/>
      <c r="V25" s="864"/>
    </row>
    <row r="26" spans="1:28">
      <c r="A26" s="864"/>
      <c r="B26" s="911"/>
      <c r="C26" s="907"/>
      <c r="D26" s="907"/>
      <c r="E26" s="907"/>
      <c r="F26" s="907"/>
      <c r="G26" s="907"/>
      <c r="H26" s="907"/>
      <c r="I26" s="907"/>
      <c r="J26" s="907"/>
      <c r="K26" s="907"/>
      <c r="L26" s="907"/>
      <c r="M26" s="907"/>
      <c r="N26" s="907"/>
      <c r="O26" s="907"/>
      <c r="P26" s="908"/>
      <c r="Q26" s="909"/>
      <c r="R26" s="909"/>
      <c r="S26" s="910"/>
      <c r="T26" s="864"/>
      <c r="U26" s="864"/>
      <c r="V26" s="864"/>
    </row>
    <row r="27" spans="1:28">
      <c r="A27" s="864"/>
      <c r="B27" s="911"/>
      <c r="C27" s="907"/>
      <c r="D27" s="907"/>
      <c r="E27" s="907"/>
      <c r="F27" s="907"/>
      <c r="G27" s="907"/>
      <c r="H27" s="907"/>
      <c r="I27" s="907"/>
      <c r="J27" s="907"/>
      <c r="K27" s="907"/>
      <c r="L27" s="907"/>
      <c r="M27" s="907"/>
      <c r="N27" s="907"/>
      <c r="O27" s="907"/>
      <c r="P27" s="908"/>
      <c r="Q27" s="909"/>
      <c r="R27" s="909"/>
      <c r="S27" s="910"/>
      <c r="T27" s="912"/>
      <c r="U27" s="864"/>
      <c r="V27" s="864"/>
    </row>
    <row r="28" spans="1:28">
      <c r="A28" s="864"/>
      <c r="B28" s="911"/>
      <c r="C28" s="907"/>
      <c r="D28" s="907"/>
      <c r="E28" s="907"/>
      <c r="F28" s="907"/>
      <c r="G28" s="907"/>
      <c r="H28" s="907"/>
      <c r="I28" s="907"/>
      <c r="J28" s="907"/>
      <c r="K28" s="907"/>
      <c r="L28" s="907"/>
      <c r="M28" s="907"/>
      <c r="N28" s="907"/>
      <c r="O28" s="907"/>
      <c r="P28" s="908"/>
      <c r="Q28" s="909"/>
      <c r="R28" s="909"/>
      <c r="S28" s="910"/>
      <c r="T28" s="912"/>
      <c r="U28" s="864"/>
      <c r="V28" s="864"/>
    </row>
    <row r="29" spans="1:28">
      <c r="A29" s="864"/>
      <c r="B29" s="864"/>
      <c r="C29" s="864"/>
      <c r="D29" s="864"/>
      <c r="E29" s="864"/>
      <c r="F29" s="864"/>
      <c r="G29" s="864"/>
      <c r="H29" s="864"/>
      <c r="I29" s="864"/>
      <c r="J29" s="864"/>
      <c r="K29" s="864"/>
      <c r="L29" s="864"/>
      <c r="M29" s="864"/>
      <c r="N29" s="864"/>
      <c r="O29" s="864"/>
      <c r="P29" s="909"/>
      <c r="Q29" s="909"/>
      <c r="R29" s="909"/>
      <c r="S29" s="910"/>
      <c r="T29" s="912"/>
      <c r="U29" s="864"/>
      <c r="V29" s="864"/>
    </row>
    <row r="30" spans="1:28">
      <c r="A30" s="864"/>
      <c r="B30" s="864"/>
      <c r="C30" s="911"/>
      <c r="D30" s="911"/>
      <c r="E30" s="911"/>
      <c r="F30" s="911"/>
      <c r="G30" s="911"/>
      <c r="H30" s="911"/>
      <c r="I30" s="911"/>
      <c r="J30" s="911"/>
      <c r="K30" s="911"/>
      <c r="L30" s="911"/>
      <c r="M30" s="911"/>
      <c r="N30" s="911"/>
      <c r="O30" s="911"/>
      <c r="P30" s="910"/>
      <c r="Q30" s="909"/>
      <c r="R30" s="909"/>
      <c r="S30" s="909"/>
      <c r="T30" s="912"/>
      <c r="U30" s="864"/>
      <c r="V30" s="864"/>
      <c r="AB30" s="688"/>
    </row>
    <row r="31" spans="1:28">
      <c r="A31" s="864"/>
      <c r="B31" s="906"/>
      <c r="C31" s="907"/>
      <c r="D31" s="907"/>
      <c r="E31" s="907"/>
      <c r="F31" s="907"/>
      <c r="G31" s="907"/>
      <c r="H31" s="907"/>
      <c r="I31" s="907"/>
      <c r="J31" s="907"/>
      <c r="K31" s="907"/>
      <c r="L31" s="907"/>
      <c r="M31" s="907"/>
      <c r="N31" s="907"/>
      <c r="O31" s="907"/>
      <c r="P31" s="913"/>
      <c r="Q31" s="908"/>
      <c r="R31" s="909"/>
      <c r="S31" s="914"/>
      <c r="T31" s="912"/>
      <c r="U31" s="864"/>
      <c r="V31" s="864"/>
    </row>
    <row r="32" spans="1:28">
      <c r="A32" s="864"/>
      <c r="B32" s="906"/>
      <c r="C32" s="907"/>
      <c r="D32" s="907"/>
      <c r="E32" s="907"/>
      <c r="F32" s="907"/>
      <c r="G32" s="907"/>
      <c r="H32" s="907"/>
      <c r="I32" s="907"/>
      <c r="J32" s="907"/>
      <c r="K32" s="907"/>
      <c r="L32" s="907"/>
      <c r="M32" s="907"/>
      <c r="N32" s="907"/>
      <c r="O32" s="907"/>
      <c r="P32" s="913"/>
      <c r="Q32" s="908"/>
      <c r="R32" s="909"/>
      <c r="S32" s="914"/>
      <c r="T32" s="912"/>
      <c r="U32" s="864"/>
      <c r="V32" s="864"/>
    </row>
    <row r="33" spans="1:22">
      <c r="A33" s="864"/>
      <c r="B33" s="906"/>
      <c r="C33" s="907"/>
      <c r="D33" s="907"/>
      <c r="E33" s="907"/>
      <c r="F33" s="907"/>
      <c r="G33" s="907"/>
      <c r="H33" s="907"/>
      <c r="I33" s="907"/>
      <c r="J33" s="907"/>
      <c r="K33" s="907"/>
      <c r="L33" s="907"/>
      <c r="M33" s="907"/>
      <c r="N33" s="907"/>
      <c r="O33" s="907"/>
      <c r="P33" s="913"/>
      <c r="Q33" s="908"/>
      <c r="R33" s="909"/>
      <c r="S33" s="914"/>
      <c r="T33" s="912"/>
      <c r="U33" s="864"/>
      <c r="V33" s="864"/>
    </row>
    <row r="34" spans="1:22">
      <c r="A34" s="864"/>
      <c r="B34" s="906"/>
      <c r="C34" s="907"/>
      <c r="D34" s="907"/>
      <c r="E34" s="907"/>
      <c r="F34" s="907"/>
      <c r="G34" s="907"/>
      <c r="H34" s="907"/>
      <c r="I34" s="907"/>
      <c r="J34" s="907"/>
      <c r="K34" s="907"/>
      <c r="L34" s="907"/>
      <c r="M34" s="907"/>
      <c r="N34" s="907"/>
      <c r="O34" s="907"/>
      <c r="P34" s="913"/>
      <c r="Q34" s="908"/>
      <c r="R34" s="909"/>
      <c r="S34" s="914"/>
      <c r="T34" s="912"/>
      <c r="U34" s="864"/>
      <c r="V34" s="864"/>
    </row>
    <row r="35" spans="1:22">
      <c r="A35" s="864"/>
      <c r="B35" s="906"/>
      <c r="C35" s="907"/>
      <c r="D35" s="907"/>
      <c r="E35" s="907"/>
      <c r="F35" s="907"/>
      <c r="G35" s="907"/>
      <c r="H35" s="907"/>
      <c r="I35" s="907"/>
      <c r="J35" s="907"/>
      <c r="K35" s="907"/>
      <c r="L35" s="907"/>
      <c r="M35" s="907"/>
      <c r="N35" s="907"/>
      <c r="O35" s="907"/>
      <c r="P35" s="913"/>
      <c r="Q35" s="908"/>
      <c r="R35" s="909"/>
      <c r="S35" s="914"/>
      <c r="T35" s="912"/>
      <c r="U35" s="864"/>
      <c r="V35" s="864"/>
    </row>
    <row r="36" spans="1:22" ht="14" thickBot="1">
      <c r="A36" s="864"/>
      <c r="B36" s="906"/>
      <c r="C36" s="915"/>
      <c r="D36" s="916"/>
      <c r="E36" s="1415" t="str">
        <f>CONCATENATE(ROUND('IN (mmol|L)'!S60,1)," %")</f>
        <v>7 %</v>
      </c>
      <c r="F36" s="916"/>
      <c r="G36" s="917"/>
      <c r="H36" s="110"/>
      <c r="I36" s="110"/>
      <c r="J36" s="907"/>
      <c r="K36" s="915"/>
      <c r="L36" s="916"/>
      <c r="M36" s="1415" t="str">
        <f>CONCATENATE(ROUND('IN (mmol|L)'!S62,1)," %")</f>
        <v>7 %</v>
      </c>
      <c r="N36" s="916"/>
      <c r="O36" s="917"/>
      <c r="P36" s="913"/>
      <c r="Q36" s="908"/>
      <c r="R36" s="909"/>
      <c r="S36" s="914"/>
      <c r="T36" s="912"/>
      <c r="U36" s="864"/>
      <c r="V36" s="864"/>
    </row>
    <row r="37" spans="1:22" ht="13" customHeight="1">
      <c r="A37" s="1447" t="s">
        <v>25</v>
      </c>
      <c r="B37" s="1447"/>
      <c r="C37" s="918"/>
      <c r="D37" s="604"/>
      <c r="E37" s="1415"/>
      <c r="F37" s="604"/>
      <c r="G37" s="112"/>
      <c r="H37" s="110"/>
      <c r="I37" s="110"/>
      <c r="J37" s="110"/>
      <c r="K37" s="918"/>
      <c r="L37" s="604"/>
      <c r="M37" s="1415"/>
      <c r="N37" s="604"/>
      <c r="O37" s="112"/>
      <c r="P37" s="913"/>
      <c r="Q37" s="908"/>
      <c r="R37" s="909"/>
      <c r="S37" s="914"/>
      <c r="T37" s="912"/>
      <c r="U37" s="864"/>
      <c r="V37" s="864"/>
    </row>
    <row r="38" spans="1:22" ht="13.75" customHeight="1" thickBot="1">
      <c r="A38" s="1447"/>
      <c r="B38" s="1447"/>
      <c r="C38" s="300"/>
      <c r="D38" s="110"/>
      <c r="E38" s="110"/>
      <c r="F38" s="110"/>
      <c r="G38" s="915"/>
      <c r="H38" s="603"/>
      <c r="I38" s="1417" t="str">
        <f>CONCATENATE(ROUND('IN (mmol|L)'!S61,1)," %")</f>
        <v>7 %</v>
      </c>
      <c r="J38" s="603"/>
      <c r="K38" s="917"/>
      <c r="L38" s="110"/>
      <c r="M38" s="110"/>
      <c r="N38" s="110"/>
      <c r="O38" s="919"/>
      <c r="P38" s="913"/>
      <c r="Q38" s="908"/>
      <c r="R38" s="909"/>
      <c r="S38" s="914"/>
      <c r="T38" s="912"/>
      <c r="U38" s="864"/>
      <c r="V38" s="864"/>
    </row>
    <row r="39" spans="1:22" ht="19" thickBot="1">
      <c r="A39" s="1447" t="s">
        <v>1</v>
      </c>
      <c r="B39" s="1448"/>
      <c r="C39" s="300"/>
      <c r="D39" s="110"/>
      <c r="E39" s="110"/>
      <c r="F39" s="110"/>
      <c r="G39" s="918"/>
      <c r="H39" s="920"/>
      <c r="I39" s="1415"/>
      <c r="J39" s="920"/>
      <c r="K39" s="112"/>
      <c r="L39" s="110"/>
      <c r="M39" s="110"/>
      <c r="N39" s="110"/>
      <c r="O39" s="919"/>
      <c r="P39" s="913"/>
      <c r="Q39" s="908"/>
      <c r="R39" s="909"/>
      <c r="S39" s="914"/>
      <c r="T39" s="912"/>
      <c r="U39" s="864"/>
      <c r="V39" s="864"/>
    </row>
    <row r="40" spans="1:22" ht="19" thickBot="1">
      <c r="A40" s="1449" t="s">
        <v>2</v>
      </c>
      <c r="B40" s="1450"/>
      <c r="C40" s="921"/>
      <c r="D40" s="922"/>
      <c r="E40" s="922"/>
      <c r="F40" s="922"/>
      <c r="G40" s="922"/>
      <c r="H40" s="922"/>
      <c r="I40" s="1443" t="str">
        <f>CONCATENATE(ROUND('IN (mmol|L)'!S59,1)," %")</f>
        <v>7 %</v>
      </c>
      <c r="J40" s="923"/>
      <c r="K40" s="922"/>
      <c r="L40" s="922"/>
      <c r="M40" s="922"/>
      <c r="N40" s="922"/>
      <c r="O40" s="924"/>
      <c r="P40" s="912"/>
      <c r="Q40" s="912"/>
      <c r="R40" s="912"/>
      <c r="S40" s="925"/>
      <c r="T40" s="912"/>
      <c r="U40" s="864"/>
      <c r="V40" s="864"/>
    </row>
    <row r="41" spans="1:22" ht="13" customHeight="1" thickBot="1">
      <c r="A41" s="864"/>
      <c r="B41" s="864"/>
      <c r="C41" s="926"/>
      <c r="D41" s="927"/>
      <c r="E41" s="860"/>
      <c r="F41" s="860"/>
      <c r="G41" s="860"/>
      <c r="H41" s="860"/>
      <c r="I41" s="1444"/>
      <c r="J41" s="928"/>
      <c r="K41" s="860"/>
      <c r="L41" s="860"/>
      <c r="M41" s="927"/>
      <c r="N41" s="927"/>
      <c r="O41" s="929"/>
      <c r="P41" s="912"/>
      <c r="Q41" s="912"/>
      <c r="R41" s="912"/>
      <c r="S41" s="925"/>
      <c r="T41" s="912"/>
      <c r="U41" s="864"/>
      <c r="V41" s="864"/>
    </row>
    <row r="42" spans="1:22">
      <c r="A42" s="864"/>
      <c r="B42" s="864"/>
      <c r="C42" s="864"/>
      <c r="D42" s="906"/>
      <c r="E42" s="930"/>
      <c r="F42" s="930"/>
      <c r="G42" s="930"/>
      <c r="H42" s="864"/>
      <c r="I42" s="864"/>
      <c r="J42" s="864"/>
      <c r="K42" s="864"/>
      <c r="L42" s="864"/>
      <c r="M42" s="864"/>
      <c r="N42" s="864"/>
      <c r="O42" s="864"/>
      <c r="P42" s="912"/>
      <c r="Q42" s="912"/>
      <c r="R42" s="912"/>
      <c r="S42" s="925"/>
      <c r="T42" s="912"/>
      <c r="U42" s="864"/>
      <c r="V42" s="864"/>
    </row>
    <row r="43" spans="1:22">
      <c r="A43" s="864"/>
      <c r="B43" s="864"/>
      <c r="C43" s="864"/>
      <c r="D43" s="906"/>
      <c r="E43" s="930"/>
      <c r="F43" s="930"/>
      <c r="G43" s="930"/>
      <c r="H43" s="864"/>
      <c r="I43" s="864"/>
      <c r="J43" s="864"/>
      <c r="K43" s="864"/>
      <c r="L43" s="864"/>
      <c r="M43" s="864"/>
      <c r="N43" s="864"/>
      <c r="O43" s="864"/>
      <c r="P43" s="912"/>
      <c r="Q43" s="912"/>
      <c r="R43" s="912"/>
      <c r="S43" s="925"/>
      <c r="T43" s="912"/>
      <c r="U43" s="864"/>
      <c r="V43" s="864"/>
    </row>
    <row r="44" spans="1:22">
      <c r="A44" s="864"/>
      <c r="B44" s="864"/>
      <c r="C44" s="864"/>
      <c r="D44" s="906"/>
      <c r="E44" s="930"/>
      <c r="F44" s="930"/>
      <c r="G44" s="930"/>
      <c r="H44" s="864"/>
      <c r="I44" s="864"/>
      <c r="J44" s="864"/>
      <c r="K44" s="864"/>
      <c r="L44" s="864"/>
      <c r="M44" s="864"/>
      <c r="N44" s="864"/>
      <c r="O44" s="864"/>
      <c r="P44" s="912"/>
      <c r="Q44" s="912"/>
      <c r="R44" s="912"/>
      <c r="S44" s="925"/>
      <c r="T44" s="912"/>
      <c r="U44" s="864"/>
      <c r="V44" s="864"/>
    </row>
    <row r="45" spans="1:22">
      <c r="A45" s="864"/>
      <c r="B45" s="864"/>
      <c r="C45" s="864"/>
      <c r="D45" s="906"/>
      <c r="E45" s="930"/>
      <c r="F45" s="930"/>
      <c r="G45" s="930"/>
      <c r="H45" s="864"/>
      <c r="I45" s="864"/>
      <c r="J45" s="864"/>
      <c r="K45" s="864"/>
      <c r="L45" s="864"/>
      <c r="M45" s="864"/>
      <c r="N45" s="864"/>
      <c r="O45" s="864"/>
      <c r="P45" s="864"/>
      <c r="Q45" s="864"/>
      <c r="R45" s="864"/>
      <c r="S45" s="911"/>
      <c r="T45" s="864"/>
      <c r="U45" s="864"/>
      <c r="V45" s="864"/>
    </row>
    <row r="46" spans="1:22">
      <c r="A46" s="864"/>
      <c r="B46" s="864"/>
      <c r="C46" s="864"/>
      <c r="D46" s="906"/>
      <c r="E46" s="930"/>
      <c r="F46" s="930"/>
      <c r="G46" s="930"/>
      <c r="H46" s="864"/>
      <c r="I46" s="864"/>
      <c r="J46" s="864"/>
      <c r="K46" s="864"/>
      <c r="L46" s="864"/>
      <c r="M46" s="864"/>
      <c r="N46" s="864"/>
      <c r="O46" s="864"/>
      <c r="P46" s="864"/>
      <c r="Q46" s="864"/>
      <c r="R46" s="864"/>
      <c r="S46" s="911"/>
      <c r="T46" s="864"/>
      <c r="U46" s="864"/>
      <c r="V46" s="864"/>
    </row>
    <row r="47" spans="1:22">
      <c r="A47" s="864"/>
      <c r="B47" s="864"/>
      <c r="C47" s="864"/>
      <c r="D47" s="906"/>
      <c r="E47" s="930"/>
      <c r="F47" s="930"/>
      <c r="G47" s="930"/>
      <c r="H47" s="864"/>
      <c r="I47" s="864"/>
      <c r="J47" s="864"/>
      <c r="K47" s="864"/>
      <c r="L47" s="864"/>
      <c r="M47" s="864"/>
      <c r="N47" s="864"/>
      <c r="O47" s="864"/>
      <c r="P47" s="864"/>
      <c r="Q47" s="864"/>
      <c r="R47" s="864"/>
      <c r="S47" s="911"/>
      <c r="T47" s="864"/>
      <c r="U47" s="864"/>
      <c r="V47" s="864"/>
    </row>
    <row r="48" spans="1:22">
      <c r="A48" s="864"/>
      <c r="B48" s="864"/>
      <c r="C48" s="864"/>
      <c r="D48" s="906"/>
      <c r="E48" s="930"/>
      <c r="F48" s="930"/>
      <c r="G48" s="930"/>
      <c r="H48" s="864"/>
      <c r="I48" s="864"/>
      <c r="J48" s="864"/>
      <c r="K48" s="864"/>
      <c r="L48" s="864"/>
      <c r="M48" s="864"/>
      <c r="N48" s="864"/>
      <c r="O48" s="864"/>
      <c r="P48" s="864"/>
      <c r="Q48" s="864"/>
      <c r="R48" s="864"/>
      <c r="S48" s="911"/>
      <c r="T48" s="864"/>
      <c r="U48" s="864"/>
      <c r="V48" s="864"/>
    </row>
    <row r="49" spans="1:22">
      <c r="A49" s="864"/>
      <c r="B49" s="864"/>
      <c r="C49" s="864"/>
      <c r="D49" s="906"/>
      <c r="E49" s="930"/>
      <c r="F49" s="930"/>
      <c r="G49" s="930"/>
      <c r="H49" s="864"/>
      <c r="I49" s="864"/>
      <c r="J49" s="864"/>
      <c r="K49" s="864"/>
      <c r="L49" s="864"/>
      <c r="M49" s="864"/>
      <c r="N49" s="864"/>
      <c r="O49" s="864"/>
      <c r="P49" s="864"/>
      <c r="Q49" s="864"/>
      <c r="R49" s="864"/>
      <c r="S49" s="911"/>
      <c r="T49" s="864"/>
      <c r="U49" s="864"/>
      <c r="V49" s="864"/>
    </row>
    <row r="50" spans="1:22">
      <c r="A50" s="864"/>
      <c r="B50" s="864"/>
      <c r="C50" s="864"/>
      <c r="D50" s="906"/>
      <c r="E50" s="930"/>
      <c r="F50" s="930"/>
      <c r="G50" s="930"/>
      <c r="H50" s="864"/>
      <c r="I50" s="864"/>
      <c r="J50" s="864"/>
      <c r="K50" s="864"/>
      <c r="L50" s="864"/>
      <c r="M50" s="864"/>
      <c r="N50" s="864"/>
      <c r="O50" s="864"/>
      <c r="P50" s="864"/>
      <c r="Q50" s="864"/>
      <c r="R50" s="864"/>
      <c r="S50" s="911"/>
      <c r="T50" s="864"/>
      <c r="U50" s="864"/>
      <c r="V50" s="864"/>
    </row>
    <row r="51" spans="1:22">
      <c r="A51" s="864"/>
      <c r="B51" s="864"/>
      <c r="C51" s="864"/>
      <c r="D51" s="931"/>
      <c r="E51" s="864"/>
      <c r="F51" s="864"/>
      <c r="G51" s="864"/>
      <c r="H51" s="864"/>
      <c r="I51" s="864"/>
      <c r="J51" s="864"/>
      <c r="K51" s="864"/>
      <c r="L51" s="864"/>
      <c r="M51" s="864"/>
      <c r="N51" s="864"/>
      <c r="O51" s="864"/>
      <c r="P51" s="864"/>
      <c r="Q51" s="864"/>
      <c r="R51" s="864"/>
      <c r="S51" s="911"/>
      <c r="T51" s="864"/>
      <c r="U51" s="864"/>
      <c r="V51" s="864"/>
    </row>
    <row r="52" spans="1:22">
      <c r="A52" s="864"/>
      <c r="B52" s="864"/>
      <c r="C52" s="864"/>
      <c r="D52" s="931"/>
      <c r="E52" s="864"/>
      <c r="F52" s="864"/>
      <c r="G52" s="864"/>
      <c r="H52" s="864"/>
      <c r="I52" s="864"/>
      <c r="J52" s="864"/>
      <c r="K52" s="864"/>
      <c r="L52" s="864"/>
      <c r="M52" s="864"/>
      <c r="N52" s="864"/>
      <c r="O52" s="864"/>
      <c r="P52" s="864"/>
      <c r="Q52" s="864"/>
      <c r="R52" s="864"/>
      <c r="S52" s="911"/>
      <c r="T52" s="864"/>
      <c r="U52" s="864"/>
      <c r="V52" s="864"/>
    </row>
    <row r="53" spans="1:22">
      <c r="A53" s="864"/>
      <c r="B53" s="864"/>
      <c r="C53" s="864"/>
      <c r="D53" s="864"/>
      <c r="E53" s="864"/>
      <c r="F53" s="864"/>
      <c r="G53" s="864"/>
      <c r="H53" s="864"/>
      <c r="I53" s="864"/>
      <c r="J53" s="864"/>
      <c r="K53" s="864"/>
      <c r="L53" s="864"/>
      <c r="M53" s="864"/>
      <c r="N53" s="864"/>
      <c r="O53" s="864"/>
      <c r="P53" s="864"/>
      <c r="Q53" s="864"/>
      <c r="R53" s="864"/>
      <c r="S53" s="911"/>
      <c r="T53" s="864"/>
      <c r="U53" s="864"/>
      <c r="V53" s="864"/>
    </row>
    <row r="54" spans="1:22">
      <c r="A54" s="864"/>
      <c r="B54" s="864"/>
      <c r="C54" s="864"/>
      <c r="D54" s="864"/>
      <c r="E54" s="864"/>
      <c r="F54" s="864"/>
      <c r="G54" s="864"/>
      <c r="H54" s="864"/>
      <c r="I54" s="864"/>
      <c r="J54" s="864"/>
      <c r="K54" s="864"/>
      <c r="L54" s="864"/>
      <c r="M54" s="864"/>
      <c r="N54" s="864"/>
      <c r="O54" s="864"/>
      <c r="P54" s="864"/>
      <c r="Q54" s="864"/>
      <c r="R54" s="864"/>
      <c r="S54" s="911"/>
      <c r="T54" s="864"/>
      <c r="U54" s="864"/>
      <c r="V54" s="864"/>
    </row>
    <row r="55" spans="1:22">
      <c r="A55" s="864"/>
      <c r="B55" s="864"/>
      <c r="C55" s="864"/>
      <c r="D55" s="864"/>
      <c r="E55" s="864"/>
      <c r="F55" s="864"/>
      <c r="G55" s="864"/>
      <c r="H55" s="864"/>
      <c r="I55" s="864"/>
      <c r="J55" s="864"/>
      <c r="K55" s="864"/>
      <c r="L55" s="864"/>
      <c r="M55" s="864"/>
      <c r="N55" s="864"/>
      <c r="O55" s="864"/>
      <c r="P55" s="864"/>
      <c r="Q55" s="864"/>
      <c r="R55" s="864"/>
      <c r="S55" s="911"/>
      <c r="T55" s="864"/>
      <c r="U55" s="864"/>
      <c r="V55" s="864"/>
    </row>
    <row r="56" spans="1:22">
      <c r="A56" s="864"/>
      <c r="B56" s="864"/>
      <c r="C56" s="864"/>
      <c r="D56" s="864"/>
      <c r="E56" s="864"/>
      <c r="F56" s="864"/>
      <c r="G56" s="864"/>
      <c r="H56" s="864"/>
      <c r="I56" s="864"/>
      <c r="J56" s="864"/>
      <c r="K56" s="864"/>
      <c r="L56" s="864"/>
      <c r="M56" s="864"/>
      <c r="N56" s="864"/>
      <c r="O56" s="864"/>
      <c r="P56" s="864"/>
      <c r="Q56" s="864"/>
      <c r="R56" s="864"/>
      <c r="S56" s="911"/>
      <c r="T56" s="864"/>
      <c r="U56" s="864"/>
      <c r="V56" s="864"/>
    </row>
    <row r="57" spans="1:22">
      <c r="A57" s="864"/>
      <c r="B57" s="864"/>
      <c r="C57" s="864"/>
      <c r="D57" s="864"/>
      <c r="E57" s="864"/>
      <c r="F57" s="864"/>
      <c r="G57" s="864"/>
      <c r="H57" s="864"/>
      <c r="I57" s="864"/>
      <c r="J57" s="864"/>
      <c r="K57" s="864"/>
      <c r="L57" s="864"/>
      <c r="M57" s="864"/>
      <c r="N57" s="864"/>
      <c r="O57" s="864"/>
      <c r="P57" s="864"/>
      <c r="Q57" s="864"/>
      <c r="R57" s="864"/>
      <c r="S57" s="911"/>
      <c r="T57" s="864"/>
      <c r="U57" s="864"/>
      <c r="V57" s="864"/>
    </row>
    <row r="58" spans="1:22">
      <c r="A58" s="864"/>
      <c r="B58" s="864"/>
      <c r="C58" s="864"/>
      <c r="D58" s="864"/>
      <c r="E58" s="864"/>
      <c r="F58" s="864"/>
      <c r="G58" s="864"/>
      <c r="H58" s="864"/>
      <c r="I58" s="864"/>
      <c r="J58" s="864"/>
      <c r="K58" s="864"/>
      <c r="L58" s="864"/>
      <c r="M58" s="864"/>
      <c r="N58" s="864"/>
      <c r="O58" s="864"/>
      <c r="P58" s="864"/>
      <c r="Q58" s="864"/>
      <c r="R58" s="864"/>
      <c r="S58" s="911"/>
      <c r="T58" s="864"/>
      <c r="U58" s="864"/>
      <c r="V58" s="864"/>
    </row>
    <row r="59" spans="1:22">
      <c r="A59" s="864"/>
      <c r="B59" s="864"/>
      <c r="C59" s="864"/>
      <c r="D59" s="864"/>
      <c r="E59" s="864"/>
      <c r="F59" s="864"/>
      <c r="G59" s="864"/>
      <c r="H59" s="864"/>
      <c r="I59" s="864"/>
      <c r="J59" s="864"/>
      <c r="K59" s="864"/>
      <c r="L59" s="864"/>
      <c r="M59" s="864"/>
      <c r="N59" s="864"/>
      <c r="O59" s="864"/>
      <c r="P59" s="864"/>
      <c r="Q59" s="864"/>
      <c r="R59" s="864"/>
      <c r="S59" s="911"/>
      <c r="T59" s="864"/>
      <c r="U59" s="864"/>
      <c r="V59" s="864"/>
    </row>
    <row r="60" spans="1:22">
      <c r="A60" s="864"/>
      <c r="B60" s="864"/>
      <c r="C60" s="864"/>
      <c r="D60" s="864"/>
      <c r="E60" s="864"/>
      <c r="F60" s="864"/>
      <c r="G60" s="864"/>
      <c r="H60" s="864"/>
      <c r="I60" s="864"/>
      <c r="J60" s="864"/>
      <c r="K60" s="864"/>
      <c r="L60" s="864"/>
      <c r="M60" s="864"/>
      <c r="N60" s="864"/>
      <c r="O60" s="864"/>
      <c r="P60" s="864"/>
      <c r="Q60" s="864"/>
      <c r="R60" s="864"/>
      <c r="S60" s="911"/>
      <c r="T60" s="864"/>
      <c r="U60" s="864"/>
      <c r="V60" s="864"/>
    </row>
    <row r="61" spans="1:22">
      <c r="A61" s="864"/>
      <c r="B61" s="864"/>
      <c r="C61" s="864"/>
      <c r="D61" s="864"/>
      <c r="E61" s="864"/>
      <c r="F61" s="864"/>
      <c r="G61" s="864"/>
      <c r="H61" s="864"/>
      <c r="I61" s="864"/>
      <c r="J61" s="864"/>
      <c r="K61" s="864"/>
      <c r="L61" s="864"/>
      <c r="M61" s="864"/>
      <c r="N61" s="864"/>
      <c r="O61" s="864"/>
      <c r="P61" s="864"/>
      <c r="Q61" s="864"/>
      <c r="R61" s="864"/>
      <c r="S61" s="911"/>
      <c r="T61" s="864"/>
      <c r="U61" s="864"/>
      <c r="V61" s="864"/>
    </row>
    <row r="62" spans="1:22">
      <c r="A62" s="864"/>
      <c r="B62" s="864"/>
      <c r="C62" s="864"/>
      <c r="D62" s="864"/>
      <c r="E62" s="864"/>
      <c r="F62" s="864"/>
      <c r="G62" s="864"/>
      <c r="H62" s="864"/>
      <c r="I62" s="864"/>
      <c r="J62" s="864"/>
      <c r="K62" s="864"/>
      <c r="L62" s="864"/>
      <c r="M62" s="864"/>
      <c r="N62" s="864"/>
      <c r="O62" s="864"/>
      <c r="P62" s="864"/>
      <c r="Q62" s="864"/>
      <c r="R62" s="864"/>
      <c r="S62" s="911"/>
      <c r="T62" s="864"/>
      <c r="U62" s="864"/>
      <c r="V62" s="864"/>
    </row>
    <row r="63" spans="1:22">
      <c r="A63" s="864"/>
      <c r="B63" s="864"/>
      <c r="C63" s="864"/>
      <c r="D63" s="864"/>
      <c r="E63" s="864"/>
      <c r="F63" s="864"/>
      <c r="G63" s="864"/>
      <c r="H63" s="864"/>
      <c r="I63" s="864"/>
      <c r="J63" s="864"/>
      <c r="K63" s="864"/>
      <c r="L63" s="864"/>
      <c r="M63" s="864"/>
      <c r="N63" s="864"/>
      <c r="O63" s="864"/>
      <c r="P63" s="864"/>
      <c r="Q63" s="864"/>
      <c r="R63" s="864"/>
      <c r="S63" s="911"/>
      <c r="T63" s="864"/>
      <c r="U63" s="864"/>
      <c r="V63" s="864"/>
    </row>
    <row r="64" spans="1:22">
      <c r="A64" s="864"/>
      <c r="B64" s="864"/>
      <c r="C64" s="864"/>
      <c r="D64" s="864"/>
      <c r="E64" s="864"/>
      <c r="F64" s="864"/>
      <c r="G64" s="864"/>
      <c r="H64" s="864"/>
      <c r="I64" s="864"/>
      <c r="J64" s="864"/>
      <c r="K64" s="864"/>
      <c r="L64" s="864"/>
      <c r="M64" s="864"/>
      <c r="N64" s="864"/>
      <c r="O64" s="864"/>
      <c r="P64" s="864"/>
      <c r="Q64" s="864"/>
      <c r="R64" s="864"/>
      <c r="S64" s="911"/>
      <c r="T64" s="864"/>
      <c r="U64" s="864"/>
      <c r="V64" s="864"/>
    </row>
    <row r="65" spans="1:22">
      <c r="A65" s="864"/>
      <c r="B65" s="864"/>
      <c r="C65" s="864"/>
      <c r="D65" s="864"/>
      <c r="E65" s="864"/>
      <c r="F65" s="864"/>
      <c r="G65" s="864"/>
      <c r="H65" s="864"/>
      <c r="I65" s="864"/>
      <c r="J65" s="864"/>
      <c r="K65" s="864"/>
      <c r="L65" s="864"/>
      <c r="M65" s="864"/>
      <c r="N65" s="864"/>
      <c r="O65" s="864"/>
      <c r="P65" s="864"/>
      <c r="Q65" s="864"/>
      <c r="R65" s="864"/>
      <c r="S65" s="911"/>
      <c r="T65" s="864"/>
      <c r="U65" s="864"/>
      <c r="V65" s="864"/>
    </row>
    <row r="66" spans="1:22">
      <c r="A66" s="864"/>
      <c r="B66" s="864"/>
      <c r="C66" s="864"/>
      <c r="D66" s="864"/>
      <c r="E66" s="864"/>
      <c r="F66" s="864"/>
      <c r="G66" s="864"/>
      <c r="H66" s="864"/>
      <c r="I66" s="864"/>
      <c r="J66" s="864"/>
      <c r="K66" s="864"/>
      <c r="L66" s="864"/>
      <c r="M66" s="864"/>
      <c r="N66" s="864"/>
      <c r="O66" s="864"/>
      <c r="P66" s="864"/>
      <c r="Q66" s="864"/>
      <c r="R66" s="864"/>
      <c r="S66" s="911"/>
      <c r="T66" s="864"/>
      <c r="U66" s="864"/>
      <c r="V66" s="864"/>
    </row>
    <row r="67" spans="1:22">
      <c r="A67" s="864"/>
      <c r="B67" s="864"/>
      <c r="C67" s="864"/>
      <c r="D67" s="864"/>
      <c r="E67" s="864"/>
      <c r="F67" s="864"/>
      <c r="G67" s="864"/>
      <c r="H67" s="864"/>
      <c r="I67" s="864"/>
      <c r="J67" s="864"/>
      <c r="K67" s="864"/>
      <c r="L67" s="864"/>
      <c r="M67" s="864"/>
      <c r="N67" s="864"/>
      <c r="O67" s="864"/>
      <c r="P67" s="864"/>
      <c r="Q67" s="864"/>
      <c r="R67" s="864"/>
      <c r="S67" s="911"/>
      <c r="T67" s="864"/>
      <c r="U67" s="864"/>
      <c r="V67" s="864"/>
    </row>
    <row r="68" spans="1:22">
      <c r="A68" s="864"/>
      <c r="B68" s="864"/>
      <c r="C68" s="864"/>
      <c r="D68" s="864"/>
      <c r="E68" s="864"/>
      <c r="F68" s="864"/>
      <c r="G68" s="864"/>
      <c r="H68" s="864"/>
      <c r="I68" s="864"/>
      <c r="J68" s="864"/>
      <c r="K68" s="864"/>
      <c r="L68" s="864"/>
      <c r="M68" s="864"/>
      <c r="N68" s="864"/>
      <c r="O68" s="864"/>
      <c r="P68" s="864"/>
      <c r="Q68" s="864"/>
      <c r="R68" s="864"/>
      <c r="S68" s="911"/>
      <c r="T68" s="864"/>
      <c r="U68" s="864"/>
      <c r="V68" s="864"/>
    </row>
    <row r="69" spans="1:22">
      <c r="A69" s="864"/>
      <c r="B69" s="864"/>
      <c r="C69" s="864"/>
      <c r="D69" s="864"/>
      <c r="E69" s="864"/>
      <c r="F69" s="864"/>
      <c r="G69" s="864"/>
      <c r="H69" s="864"/>
      <c r="I69" s="864"/>
      <c r="J69" s="864"/>
      <c r="K69" s="864"/>
      <c r="L69" s="864"/>
      <c r="M69" s="864"/>
      <c r="N69" s="864"/>
      <c r="O69" s="864"/>
      <c r="P69" s="864"/>
      <c r="Q69" s="864"/>
      <c r="R69" s="864"/>
      <c r="S69" s="911"/>
      <c r="T69" s="864"/>
      <c r="U69" s="864"/>
      <c r="V69" s="864"/>
    </row>
    <row r="70" spans="1:22">
      <c r="A70" s="932" t="s">
        <v>93</v>
      </c>
      <c r="B70" s="933" t="str">
        <f>'IN (mmol|L)'!D$18</f>
        <v>I.E. / Basal</v>
      </c>
      <c r="C70" s="934" t="str">
        <f>'IN (mmol|L)'!D$19</f>
        <v>BE</v>
      </c>
      <c r="D70" s="934" t="s">
        <v>87</v>
      </c>
      <c r="E70" s="935" t="str">
        <f>CONCATENATE('IN (mmol|L)'!D$20," / ",'IN (mmol|L)'!D$21," / ",'IN (mmol|L)'!D$22," / ",'IN (mmol|L)'!D$23)</f>
        <v>Sport / Krankheit / Besonderheiten / Sonstiges</v>
      </c>
      <c r="F70" s="936"/>
      <c r="G70" s="936"/>
      <c r="H70" s="936"/>
      <c r="I70" s="936"/>
      <c r="J70" s="936"/>
      <c r="K70" s="936"/>
      <c r="L70" s="936"/>
      <c r="M70" s="936"/>
      <c r="N70" s="936"/>
      <c r="O70" s="937"/>
      <c r="P70" s="937"/>
      <c r="Q70" s="864"/>
      <c r="R70" s="864"/>
      <c r="S70" s="911"/>
      <c r="T70" s="864"/>
      <c r="U70" s="864"/>
      <c r="V70" s="864"/>
    </row>
    <row r="71" spans="1:22" ht="39" customHeight="1">
      <c r="A71" s="311">
        <f>C$1</f>
        <v>41456</v>
      </c>
      <c r="B71" s="159" t="str">
        <f>IF('IN (mmol|L)'!$E$64=0,"",'IN (mmol|L)'!$E$64)</f>
        <v>15 - 10 - 09/ 10+15</v>
      </c>
      <c r="C71" s="160" t="str">
        <f>IF('IN (mmol|L)'!$E$65=0,"",'IN (mmol|L)'!$E$65)</f>
        <v>05 - 04 - 03</v>
      </c>
      <c r="D71" s="175" t="str">
        <f>IF(OR(B71="",C71=0),"",CONCATENATE(IF(LEFT(B71,2)*LEFT(C71,2)=0,"X",ROUND(LEFT(B71,2)/LEFT(C71,2),1))," - ",IF(MID(B71,6,2)*MID(C71,6,2)=0,"X",ROUND(MID(B71,6,2)/MID(C71,6,2),1))," - ",IF(MID(B71,11,2)*MID(C71,11,2)=0,"X",ROUND(MID(B71,11,2)/MID(C71,11,2),1))))</f>
        <v>3 - 2,5 - 3</v>
      </c>
      <c r="E71" s="1445" t="str">
        <f>CONCATENATE('IN (mmol|L)'!E$66," / ",'IN (mmol|L)'!E$67," / ",'IN (mmol|L)'!E$68," / ",'IN (mmol|L)'!E$69)</f>
        <v xml:space="preserve"> /  /  / </v>
      </c>
      <c r="F71" s="1446"/>
      <c r="G71" s="1446"/>
      <c r="H71" s="1446"/>
      <c r="I71" s="1446"/>
      <c r="J71" s="1446"/>
      <c r="K71" s="1446"/>
      <c r="L71" s="1446"/>
      <c r="M71" s="1446"/>
      <c r="N71" s="1446"/>
      <c r="O71" s="938"/>
      <c r="P71" s="938"/>
      <c r="Q71" s="864"/>
      <c r="R71" s="864"/>
      <c r="S71" s="911"/>
      <c r="T71" s="864"/>
      <c r="U71" s="864"/>
      <c r="V71" s="864"/>
    </row>
    <row r="72" spans="1:22" ht="39" customHeight="1">
      <c r="A72" s="312">
        <f>D$1</f>
        <v>41463</v>
      </c>
      <c r="B72" s="161" t="str">
        <f>IF('IN (mmol|L)'!$F$64=0,"",'IN (mmol|L)'!$F$64)</f>
        <v>15 - 10 - 09/ 10+15</v>
      </c>
      <c r="C72" s="162" t="str">
        <f>IF('IN (mmol|L)'!$F$65=0,"",'IN (mmol|L)'!$F$65)</f>
        <v>05 - 04 - 03</v>
      </c>
      <c r="D72" s="176" t="str">
        <f t="shared" ref="D72:D82" si="0">IF(OR(B72="",C72=0),"",CONCATENATE(IF(LEFT(B72,2)*LEFT(C72,2)=0,"X",ROUND(LEFT(B72,2)/LEFT(C72,2),1))," - ",IF(MID(B72,6,2)*MID(C72,6,2)=0,"X",ROUND(MID(B72,6,2)/MID(C72,6,2),1))," - ",IF(MID(B72,11,2)*MID(C72,11,2)=0,"X",ROUND(MID(B72,11,2)/MID(C72,11,2),1))))</f>
        <v>3 - 2,5 - 3</v>
      </c>
      <c r="E72" s="1441" t="str">
        <f>CONCATENATE('IN (mmol|L)'!F$66," / ",'IN (mmol|L)'!F$67," / ",'IN (mmol|L)'!F$68," / ",'IN (mmol|L)'!F$69)</f>
        <v xml:space="preserve"> /  /  / </v>
      </c>
      <c r="F72" s="1442"/>
      <c r="G72" s="1442"/>
      <c r="H72" s="1442"/>
      <c r="I72" s="1442"/>
      <c r="J72" s="1442"/>
      <c r="K72" s="1442"/>
      <c r="L72" s="1442"/>
      <c r="M72" s="1442"/>
      <c r="N72" s="1442"/>
      <c r="O72" s="938"/>
      <c r="P72" s="938"/>
      <c r="Q72" s="864"/>
      <c r="R72" s="864"/>
      <c r="S72" s="911"/>
      <c r="T72" s="864"/>
      <c r="U72" s="864"/>
      <c r="V72" s="864"/>
    </row>
    <row r="73" spans="1:22" ht="39" customHeight="1">
      <c r="A73" s="312">
        <f>E$1</f>
        <v>41470</v>
      </c>
      <c r="B73" s="161" t="str">
        <f>IF('IN (mmol|L)'!$G$64=0,"",'IN (mmol|L)'!$G$64)</f>
        <v>15 - 10 - 09/ 10+15</v>
      </c>
      <c r="C73" s="162" t="str">
        <f>IF('IN (mmol|L)'!$G$65=0,"",'IN (mmol|L)'!$G$65)</f>
        <v>05 - 04 - 03</v>
      </c>
      <c r="D73" s="176" t="str">
        <f t="shared" si="0"/>
        <v>3 - 2,5 - 3</v>
      </c>
      <c r="E73" s="1441" t="str">
        <f>CONCATENATE('IN (mmol|L)'!G$66," / ",'IN (mmol|L)'!G$67," / ",'IN (mmol|L)'!G$68," / ",'IN (mmol|L)'!G$69)</f>
        <v xml:space="preserve"> /  /  / </v>
      </c>
      <c r="F73" s="1442"/>
      <c r="G73" s="1442"/>
      <c r="H73" s="1442"/>
      <c r="I73" s="1442"/>
      <c r="J73" s="1442"/>
      <c r="K73" s="1442"/>
      <c r="L73" s="1442"/>
      <c r="M73" s="1442"/>
      <c r="N73" s="1442"/>
      <c r="O73" s="938"/>
      <c r="P73" s="938"/>
      <c r="Q73" s="864"/>
      <c r="R73" s="864"/>
      <c r="S73" s="911"/>
      <c r="T73" s="864"/>
      <c r="U73" s="864"/>
      <c r="V73" s="864"/>
    </row>
    <row r="74" spans="1:22" ht="39" customHeight="1">
      <c r="A74" s="312">
        <f>F$1</f>
        <v>41477</v>
      </c>
      <c r="B74" s="161" t="str">
        <f>IF('IN (mmol|L)'!$H$64=0,"",'IN (mmol|L)'!$H$64)</f>
        <v>15 - 10 - 09/ 10+15</v>
      </c>
      <c r="C74" s="162" t="str">
        <f>IF('IN (mmol|L)'!$H$65=0,"",'IN (mmol|L)'!$H$65)</f>
        <v>05 - 04 - 03</v>
      </c>
      <c r="D74" s="176" t="str">
        <f t="shared" si="0"/>
        <v>3 - 2,5 - 3</v>
      </c>
      <c r="E74" s="1441" t="str">
        <f>CONCATENATE('IN (mmol|L)'!H$66," / ",'IN (mmol|L)'!H$67," / ",'IN (mmol|L)'!H$68," / ",'IN (mmol|L)'!H$69)</f>
        <v xml:space="preserve"> /  /  / </v>
      </c>
      <c r="F74" s="1442"/>
      <c r="G74" s="1442"/>
      <c r="H74" s="1442"/>
      <c r="I74" s="1442"/>
      <c r="J74" s="1442"/>
      <c r="K74" s="1442"/>
      <c r="L74" s="1442"/>
      <c r="M74" s="1442"/>
      <c r="N74" s="1442"/>
      <c r="O74" s="938"/>
      <c r="P74" s="938"/>
      <c r="Q74" s="864"/>
      <c r="R74" s="864"/>
      <c r="S74" s="911"/>
      <c r="T74" s="864"/>
      <c r="U74" s="864"/>
      <c r="V74" s="864"/>
    </row>
    <row r="75" spans="1:22" ht="39" customHeight="1">
      <c r="A75" s="312">
        <f>G$1</f>
        <v>41484</v>
      </c>
      <c r="B75" s="161" t="str">
        <f>IF('IN (mmol|L)'!$I$64=0,"",'IN (mmol|L)'!$I$64)</f>
        <v>15 - 10 - 09/ 10+15</v>
      </c>
      <c r="C75" s="162" t="str">
        <f>IF('IN (mmol|L)'!$I$65=0,"",'IN (mmol|L)'!$I$65)</f>
        <v>05 - 04 - 03</v>
      </c>
      <c r="D75" s="176" t="str">
        <f t="shared" si="0"/>
        <v>3 - 2,5 - 3</v>
      </c>
      <c r="E75" s="1441" t="str">
        <f>CONCATENATE('IN (mmol|L)'!I$66," / ",'IN (mmol|L)'!I$67," / ",'IN (mmol|L)'!K$68," / ",'IN (mmol|L)'!I$69)</f>
        <v xml:space="preserve"> /  /  / </v>
      </c>
      <c r="F75" s="1442"/>
      <c r="G75" s="1442"/>
      <c r="H75" s="1442"/>
      <c r="I75" s="1442"/>
      <c r="J75" s="1442"/>
      <c r="K75" s="1442"/>
      <c r="L75" s="1442"/>
      <c r="M75" s="1442"/>
      <c r="N75" s="1442"/>
      <c r="O75" s="938"/>
      <c r="P75" s="938"/>
      <c r="Q75" s="864"/>
      <c r="R75" s="864"/>
      <c r="S75" s="911"/>
      <c r="T75" s="864"/>
      <c r="U75" s="864"/>
      <c r="V75" s="864"/>
    </row>
    <row r="76" spans="1:22" ht="39" customHeight="1">
      <c r="A76" s="312">
        <f>H$1</f>
        <v>41491</v>
      </c>
      <c r="B76" s="163" t="str">
        <f>IF('IN (mmol|L)'!$J$64=0,"",'IN (mmol|L)'!$J$64)</f>
        <v>15 - 10 - 09/ 10+15</v>
      </c>
      <c r="C76" s="164" t="str">
        <f>IF('IN (mmol|L)'!$J$65=0,"",'IN (mmol|L)'!$J$65)</f>
        <v>05 - 04 - 03</v>
      </c>
      <c r="D76" s="176" t="str">
        <f t="shared" si="0"/>
        <v>3 - 2,5 - 3</v>
      </c>
      <c r="E76" s="1441" t="str">
        <f>CONCATENATE('IN (mmol|L)'!J$66," / ",'IN (mmol|L)'!J$67," / ",'IN (mmol|L)'!J$68," / ",'IN (mmol|L)'!J$69)</f>
        <v xml:space="preserve"> /  /  / </v>
      </c>
      <c r="F76" s="1442"/>
      <c r="G76" s="1442"/>
      <c r="H76" s="1442"/>
      <c r="I76" s="1442"/>
      <c r="J76" s="1442"/>
      <c r="K76" s="1442"/>
      <c r="L76" s="1442"/>
      <c r="M76" s="1442"/>
      <c r="N76" s="1442"/>
      <c r="O76" s="938"/>
      <c r="P76" s="938"/>
      <c r="Q76" s="864"/>
      <c r="R76" s="864"/>
      <c r="S76" s="911"/>
      <c r="T76" s="864"/>
      <c r="U76" s="864"/>
      <c r="V76" s="864"/>
    </row>
    <row r="77" spans="1:22" ht="39" customHeight="1">
      <c r="A77" s="312">
        <f>I$1</f>
        <v>41498</v>
      </c>
      <c r="B77" s="163" t="str">
        <f>IF('IN (mmol|L)'!$K$64=0,"",'IN (mmol|L)'!$K$64)</f>
        <v>15 - 10 - 09/ 10+15</v>
      </c>
      <c r="C77" s="164" t="str">
        <f>IF('IN (mmol|L)'!$K$65=0,"",'IN (mmol|L)'!$K$65)</f>
        <v>05 - 04 - 03</v>
      </c>
      <c r="D77" s="176" t="str">
        <f t="shared" si="0"/>
        <v>3 - 2,5 - 3</v>
      </c>
      <c r="E77" s="1441" t="str">
        <f>CONCATENATE('IN (mmol|L)'!K$66," / ",'IN (mmol|L)'!K$67," / ",'IN (mmol|L)'!K$68," / ",'IN (mmol|L)'!K$69)</f>
        <v xml:space="preserve"> /  /  / </v>
      </c>
      <c r="F77" s="1442"/>
      <c r="G77" s="1442"/>
      <c r="H77" s="1442"/>
      <c r="I77" s="1442"/>
      <c r="J77" s="1442"/>
      <c r="K77" s="1442"/>
      <c r="L77" s="1442"/>
      <c r="M77" s="1442"/>
      <c r="N77" s="1442"/>
      <c r="O77" s="938"/>
      <c r="P77" s="938"/>
      <c r="Q77" s="864"/>
      <c r="R77" s="864"/>
      <c r="S77" s="911"/>
      <c r="T77" s="864"/>
      <c r="U77" s="864"/>
      <c r="V77" s="864"/>
    </row>
    <row r="78" spans="1:22" ht="39" customHeight="1">
      <c r="A78" s="312">
        <f>J$1</f>
        <v>41505</v>
      </c>
      <c r="B78" s="163" t="str">
        <f>IF('IN (mmol|L)'!$L$64=0,"",'IN (mmol|L)'!$L$64)</f>
        <v>15 - 10 - 09/ 10+15</v>
      </c>
      <c r="C78" s="164" t="str">
        <f>IF('IN (mmol|L)'!$L$65=0,"",'IN (mmol|L)'!$L$65)</f>
        <v>05 - 04 - 03</v>
      </c>
      <c r="D78" s="176" t="str">
        <f t="shared" si="0"/>
        <v>3 - 2,5 - 3</v>
      </c>
      <c r="E78" s="1441" t="str">
        <f>CONCATENATE('IN (mmol|L)'!L$66," / ",'IN (mmol|L)'!L$67," / ",'IN (mmol|L)'!L$68," / ",'IN (mmol|L)'!L$69)</f>
        <v xml:space="preserve"> /  /  / </v>
      </c>
      <c r="F78" s="1442"/>
      <c r="G78" s="1442"/>
      <c r="H78" s="1442"/>
      <c r="I78" s="1442"/>
      <c r="J78" s="1442"/>
      <c r="K78" s="1442"/>
      <c r="L78" s="1442"/>
      <c r="M78" s="1442"/>
      <c r="N78" s="1442"/>
      <c r="O78" s="938"/>
      <c r="P78" s="938"/>
      <c r="Q78" s="864"/>
      <c r="R78" s="864"/>
      <c r="S78" s="911"/>
      <c r="T78" s="864"/>
      <c r="U78" s="864"/>
      <c r="V78" s="864"/>
    </row>
    <row r="79" spans="1:22" ht="39" customHeight="1">
      <c r="A79" s="312">
        <f>K$1</f>
        <v>41512</v>
      </c>
      <c r="B79" s="163" t="str">
        <f>IF('IN (mmol|L)'!$M$64=0,"",'IN (mmol|L)'!$M$64)</f>
        <v>15 - 10 - 09/ 10+15</v>
      </c>
      <c r="C79" s="164" t="str">
        <f>IF('IN (mmol|L)'!$M$65=0,"",'IN (mmol|L)'!$M$65)</f>
        <v>05 - 04 - 03</v>
      </c>
      <c r="D79" s="176" t="str">
        <f t="shared" si="0"/>
        <v>3 - 2,5 - 3</v>
      </c>
      <c r="E79" s="1441" t="str">
        <f>CONCATENATE('IN (mmol|L)'!M$66," / ",'IN (mmol|L)'!M$67," / ",'IN (mmol|L)'!M$68," / ",'IN (mmol|L)'!M$69)</f>
        <v xml:space="preserve"> /  /  / </v>
      </c>
      <c r="F79" s="1442"/>
      <c r="G79" s="1442"/>
      <c r="H79" s="1442"/>
      <c r="I79" s="1442"/>
      <c r="J79" s="1442"/>
      <c r="K79" s="1442"/>
      <c r="L79" s="1442"/>
      <c r="M79" s="1442"/>
      <c r="N79" s="1442"/>
      <c r="O79" s="938"/>
      <c r="P79" s="938"/>
      <c r="Q79" s="864"/>
      <c r="R79" s="864"/>
      <c r="S79" s="911"/>
      <c r="T79" s="864"/>
      <c r="U79" s="864"/>
      <c r="V79" s="864"/>
    </row>
    <row r="80" spans="1:22" ht="39" customHeight="1">
      <c r="A80" s="312">
        <f>L$1</f>
        <v>41519</v>
      </c>
      <c r="B80" s="163" t="str">
        <f>IF('IN (mmol|L)'!$N$64=0,"",'IN (mmol|L)'!$N$64)</f>
        <v>15 - 10 - 09/ 10+15</v>
      </c>
      <c r="C80" s="164" t="str">
        <f>IF('IN (mmol|L)'!$N$65=0,"",'IN (mmol|L)'!$N$65)</f>
        <v>05 - 04 - 03</v>
      </c>
      <c r="D80" s="176" t="str">
        <f t="shared" si="0"/>
        <v>3 - 2,5 - 3</v>
      </c>
      <c r="E80" s="1441" t="str">
        <f>CONCATENATE('IN (mmol|L)'!N$66," / ",'IN (mmol|L)'!N$67," / ",'IN (mmol|L)'!N$68," / ",'IN (mmol|L)'!N$69)</f>
        <v xml:space="preserve"> /  /  / </v>
      </c>
      <c r="F80" s="1442"/>
      <c r="G80" s="1442"/>
      <c r="H80" s="1442"/>
      <c r="I80" s="1442"/>
      <c r="J80" s="1442"/>
      <c r="K80" s="1442"/>
      <c r="L80" s="1442"/>
      <c r="M80" s="1442"/>
      <c r="N80" s="1442"/>
      <c r="O80" s="938"/>
      <c r="P80" s="938"/>
      <c r="Q80" s="864"/>
      <c r="R80" s="864"/>
      <c r="S80" s="911"/>
      <c r="T80" s="864"/>
      <c r="U80" s="864"/>
      <c r="V80" s="864"/>
    </row>
    <row r="81" spans="1:22" ht="39" customHeight="1">
      <c r="A81" s="312">
        <f>M$1</f>
        <v>41526</v>
      </c>
      <c r="B81" s="163" t="str">
        <f>IF('IN (mmol|L)'!$O$64=0,"",'IN (mmol|L)'!$O$64)</f>
        <v>15 - 10 - 09/ 10+15</v>
      </c>
      <c r="C81" s="164" t="str">
        <f>IF('IN (mmol|L)'!$O$65=0,"",'IN (mmol|L)'!$O$65)</f>
        <v>05 - 04 - 03</v>
      </c>
      <c r="D81" s="176" t="str">
        <f t="shared" si="0"/>
        <v>3 - 2,5 - 3</v>
      </c>
      <c r="E81" s="1441" t="str">
        <f>CONCATENATE('IN (mmol|L)'!O$66," / ",'IN (mmol|L)'!O$67," / ",'IN (mmol|L)'!O$68," / ",'IN (mmol|L)'!O$69)</f>
        <v xml:space="preserve"> /  /  / </v>
      </c>
      <c r="F81" s="1442"/>
      <c r="G81" s="1442"/>
      <c r="H81" s="1442"/>
      <c r="I81" s="1442"/>
      <c r="J81" s="1442"/>
      <c r="K81" s="1442"/>
      <c r="L81" s="1442"/>
      <c r="M81" s="1442"/>
      <c r="N81" s="1442"/>
      <c r="O81" s="862"/>
      <c r="P81" s="862"/>
      <c r="Q81" s="864"/>
      <c r="R81" s="864"/>
      <c r="S81" s="911"/>
      <c r="T81" s="864"/>
      <c r="U81" s="864"/>
      <c r="V81" s="864"/>
    </row>
    <row r="82" spans="1:22" ht="39" customHeight="1">
      <c r="A82" s="312">
        <f>N$1</f>
        <v>41533</v>
      </c>
      <c r="B82" s="163" t="str">
        <f>IF('IN (mmol|L)'!$P$64=0,"",'IN (mmol|L)'!$P$64)</f>
        <v>15 - 10 - 09/ 10+15</v>
      </c>
      <c r="C82" s="164" t="str">
        <f>IF('IN (mmol|L)'!$P$65=0,"",'IN (mmol|L)'!$P$65)</f>
        <v>05 - 04 - 03</v>
      </c>
      <c r="D82" s="176" t="str">
        <f t="shared" si="0"/>
        <v>3 - 2,5 - 3</v>
      </c>
      <c r="E82" s="1441" t="str">
        <f>CONCATENATE('IN (mmol|L)'!P$66," / ",'IN (mmol|L)'!P$67," / ",'IN (mmol|L)'!P$68," / ",'IN (mmol|L)'!P$69)</f>
        <v xml:space="preserve"> /  /  / </v>
      </c>
      <c r="F82" s="1442"/>
      <c r="G82" s="1442"/>
      <c r="H82" s="1442"/>
      <c r="I82" s="1442"/>
      <c r="J82" s="1442"/>
      <c r="K82" s="1442"/>
      <c r="L82" s="1442"/>
      <c r="M82" s="1442"/>
      <c r="N82" s="1442"/>
      <c r="O82" s="862"/>
      <c r="P82" s="862"/>
      <c r="Q82" s="864"/>
      <c r="R82" s="864"/>
      <c r="S82" s="911"/>
      <c r="T82" s="864"/>
      <c r="U82" s="864"/>
      <c r="V82" s="864"/>
    </row>
    <row r="83" spans="1:22" ht="39" customHeight="1">
      <c r="A83" s="312">
        <f>O$1</f>
        <v>41540</v>
      </c>
      <c r="B83" s="165" t="str">
        <f>IF('IN (mmol|L)'!$Q$64=0,"",'IN (mmol|L)'!$Q$64)</f>
        <v>15 - 10 - 09/ 10+15</v>
      </c>
      <c r="C83" s="166" t="str">
        <f>IF('IN (mmol|L)'!$Q$65=0,"",'IN (mmol|L)'!$Q$65)</f>
        <v>05 - 04 - 03</v>
      </c>
      <c r="D83" s="177" t="str">
        <f>IF(OR(B83="",C83=0),"",CONCATENATE(IF(LEFT(B83,2)*LEFT(C83,2)=0,"X",ROUND(LEFT(B83,2)/LEFT(C83,2),1))," - ",IF(MID(B83,6,2)*MID(C83,6,2)=0,"X",ROUND(MID(B83,6,2)/MID(C83,6,2),1))," - ",IF(MID(B83,11,2)*MID(C83,11,2)=0,"X",ROUND(MID(B83,11,2)/MID(C83,11,2),1))))</f>
        <v>3 - 2,5 - 3</v>
      </c>
      <c r="E83" s="1451" t="str">
        <f>CONCATENATE('IN (mmol|L)'!Q$66," / ",'IN (mmol|L)'!Q$67," / ",'IN (mmol|L)'!Q$68," / ",'IN (mmol|L)'!Q$69)</f>
        <v xml:space="preserve"> /  /  / </v>
      </c>
      <c r="F83" s="1452"/>
      <c r="G83" s="1452"/>
      <c r="H83" s="1452"/>
      <c r="I83" s="1452"/>
      <c r="J83" s="1452"/>
      <c r="K83" s="1452"/>
      <c r="L83" s="1452"/>
      <c r="M83" s="1452"/>
      <c r="N83" s="1452"/>
      <c r="O83" s="862"/>
      <c r="P83" s="862"/>
      <c r="Q83" s="864"/>
      <c r="R83" s="864"/>
      <c r="S83" s="911"/>
      <c r="T83" s="864"/>
      <c r="U83" s="864"/>
      <c r="V83" s="864"/>
    </row>
    <row r="84" spans="1:22">
      <c r="A84" s="864"/>
      <c r="B84" s="864"/>
      <c r="C84" s="864"/>
      <c r="D84" s="864"/>
      <c r="E84" s="864"/>
      <c r="F84" s="864"/>
      <c r="G84" s="864"/>
      <c r="H84" s="864"/>
      <c r="I84" s="864"/>
      <c r="J84" s="864"/>
      <c r="K84" s="864"/>
      <c r="L84" s="864"/>
      <c r="M84" s="864"/>
      <c r="N84" s="864"/>
      <c r="O84" s="862"/>
      <c r="P84" s="862"/>
      <c r="Q84" s="864"/>
      <c r="R84" s="864"/>
      <c r="S84" s="911"/>
      <c r="T84" s="864"/>
      <c r="U84" s="864"/>
      <c r="V84" s="864"/>
    </row>
    <row r="85" spans="1:22">
      <c r="A85" s="864"/>
      <c r="B85" s="864"/>
      <c r="C85" s="864"/>
      <c r="D85" s="864"/>
      <c r="E85" s="864"/>
      <c r="F85" s="864"/>
      <c r="G85" s="864"/>
      <c r="H85" s="864"/>
      <c r="I85" s="864"/>
      <c r="J85" s="864"/>
      <c r="K85" s="864"/>
      <c r="L85" s="864"/>
      <c r="M85" s="864"/>
      <c r="N85" s="864"/>
      <c r="O85" s="862"/>
      <c r="P85" s="862"/>
      <c r="Q85" s="864"/>
      <c r="R85" s="864"/>
      <c r="S85" s="911"/>
      <c r="T85" s="864"/>
      <c r="U85" s="864"/>
      <c r="V85" s="864"/>
    </row>
    <row r="86" spans="1:22">
      <c r="A86" s="864"/>
      <c r="B86" s="864"/>
      <c r="C86" s="864"/>
      <c r="D86" s="864"/>
      <c r="E86" s="864"/>
      <c r="F86" s="864"/>
      <c r="G86" s="864"/>
      <c r="H86" s="864"/>
      <c r="I86" s="864"/>
      <c r="J86" s="864"/>
      <c r="K86" s="864"/>
      <c r="L86" s="864"/>
      <c r="M86" s="864"/>
      <c r="N86" s="864"/>
      <c r="O86" s="862"/>
      <c r="P86" s="862"/>
      <c r="Q86" s="864"/>
      <c r="R86" s="864"/>
      <c r="S86" s="911"/>
      <c r="T86" s="864"/>
      <c r="U86" s="864"/>
      <c r="V86" s="864"/>
    </row>
    <row r="87" spans="1:22">
      <c r="A87" s="864"/>
      <c r="B87" s="864"/>
      <c r="C87" s="864"/>
      <c r="D87" s="864"/>
      <c r="E87" s="864"/>
      <c r="F87" s="864"/>
      <c r="G87" s="864"/>
      <c r="H87" s="864"/>
      <c r="I87" s="864"/>
      <c r="J87" s="864"/>
      <c r="K87" s="864"/>
      <c r="L87" s="864"/>
      <c r="M87" s="864"/>
      <c r="N87" s="864"/>
      <c r="O87" s="862"/>
      <c r="P87" s="862"/>
      <c r="Q87" s="864"/>
      <c r="R87" s="864"/>
      <c r="S87" s="911"/>
      <c r="T87" s="864"/>
      <c r="U87" s="864"/>
      <c r="V87" s="864"/>
    </row>
    <row r="88" spans="1:22">
      <c r="A88" s="864"/>
      <c r="B88" s="864"/>
      <c r="C88" s="864"/>
      <c r="D88" s="864"/>
      <c r="E88" s="864"/>
      <c r="F88" s="864"/>
      <c r="G88" s="864"/>
      <c r="H88" s="864"/>
      <c r="I88" s="864"/>
      <c r="J88" s="864"/>
      <c r="K88" s="864"/>
      <c r="L88" s="864"/>
      <c r="M88" s="864"/>
      <c r="N88" s="864"/>
      <c r="O88" s="862"/>
      <c r="P88" s="862"/>
      <c r="Q88" s="864"/>
      <c r="R88" s="864"/>
      <c r="S88" s="911"/>
      <c r="T88" s="864"/>
      <c r="U88" s="864"/>
      <c r="V88" s="864"/>
    </row>
    <row r="89" spans="1:22">
      <c r="A89" s="864"/>
      <c r="B89" s="864"/>
      <c r="C89" s="864"/>
      <c r="D89" s="864"/>
      <c r="E89" s="864"/>
      <c r="F89" s="864"/>
      <c r="G89" s="864"/>
      <c r="H89" s="864"/>
      <c r="I89" s="864"/>
      <c r="J89" s="864"/>
      <c r="K89" s="864"/>
      <c r="L89" s="864"/>
      <c r="M89" s="864"/>
      <c r="N89" s="864"/>
      <c r="O89" s="862"/>
      <c r="P89" s="862"/>
      <c r="Q89" s="864"/>
      <c r="R89" s="864"/>
      <c r="S89" s="911"/>
      <c r="T89" s="864"/>
      <c r="U89" s="864"/>
      <c r="V89" s="864"/>
    </row>
    <row r="90" spans="1:22">
      <c r="A90" s="864"/>
      <c r="B90" s="864"/>
      <c r="C90" s="864"/>
      <c r="D90" s="864"/>
      <c r="E90" s="864"/>
      <c r="F90" s="864"/>
      <c r="G90" s="864"/>
      <c r="H90" s="864"/>
      <c r="I90" s="864"/>
      <c r="J90" s="864"/>
      <c r="K90" s="864"/>
      <c r="L90" s="864"/>
      <c r="M90" s="864"/>
      <c r="N90" s="864"/>
      <c r="O90" s="862"/>
      <c r="P90" s="862"/>
      <c r="Q90" s="864"/>
      <c r="R90" s="864"/>
      <c r="S90" s="911"/>
      <c r="T90" s="864"/>
      <c r="U90" s="864"/>
      <c r="V90" s="864"/>
    </row>
    <row r="91" spans="1:22">
      <c r="A91" s="864"/>
      <c r="B91" s="864"/>
      <c r="C91" s="864"/>
      <c r="D91" s="864"/>
      <c r="E91" s="864"/>
      <c r="F91" s="864"/>
      <c r="G91" s="864"/>
      <c r="H91" s="864"/>
      <c r="I91" s="864"/>
      <c r="J91" s="864"/>
      <c r="K91" s="864"/>
      <c r="L91" s="864"/>
      <c r="M91" s="864"/>
      <c r="N91" s="864"/>
      <c r="O91" s="862"/>
      <c r="P91" s="862"/>
      <c r="Q91" s="864"/>
      <c r="R91" s="864"/>
      <c r="S91" s="911"/>
      <c r="T91" s="864"/>
      <c r="U91" s="864"/>
      <c r="V91" s="864"/>
    </row>
    <row r="92" spans="1:22">
      <c r="A92" s="864"/>
      <c r="B92" s="864"/>
      <c r="C92" s="864"/>
      <c r="D92" s="864"/>
      <c r="E92" s="864"/>
      <c r="F92" s="864"/>
      <c r="G92" s="864"/>
      <c r="H92" s="864"/>
      <c r="I92" s="864"/>
      <c r="J92" s="864"/>
      <c r="K92" s="864"/>
      <c r="L92" s="864"/>
      <c r="M92" s="864"/>
      <c r="N92" s="864"/>
      <c r="O92" s="862"/>
      <c r="P92" s="862"/>
      <c r="Q92" s="864"/>
      <c r="R92" s="864"/>
      <c r="S92" s="911"/>
      <c r="T92" s="864"/>
      <c r="U92" s="864"/>
      <c r="V92" s="864"/>
    </row>
    <row r="93" spans="1:22">
      <c r="A93" s="864"/>
      <c r="B93" s="864"/>
      <c r="C93" s="864"/>
      <c r="D93" s="864"/>
      <c r="E93" s="864"/>
      <c r="F93" s="864"/>
      <c r="G93" s="864"/>
      <c r="H93" s="864"/>
      <c r="I93" s="864"/>
      <c r="J93" s="864"/>
      <c r="K93" s="864"/>
      <c r="L93" s="864"/>
      <c r="M93" s="864"/>
      <c r="N93" s="864"/>
      <c r="O93" s="862"/>
      <c r="P93" s="862"/>
      <c r="Q93" s="864"/>
      <c r="R93" s="864"/>
      <c r="S93" s="911"/>
      <c r="T93" s="864"/>
      <c r="U93" s="864"/>
      <c r="V93" s="864"/>
    </row>
    <row r="94" spans="1:22">
      <c r="A94" s="864"/>
      <c r="B94" s="864"/>
      <c r="C94" s="864"/>
      <c r="D94" s="864"/>
      <c r="E94" s="864"/>
      <c r="F94" s="864"/>
      <c r="G94" s="864"/>
      <c r="H94" s="864"/>
      <c r="I94" s="864"/>
      <c r="J94" s="864"/>
      <c r="K94" s="864"/>
      <c r="L94" s="864"/>
      <c r="M94" s="864"/>
      <c r="N94" s="864"/>
      <c r="O94" s="862"/>
      <c r="P94" s="862"/>
      <c r="Q94" s="864"/>
      <c r="R94" s="864"/>
      <c r="S94" s="911"/>
      <c r="T94" s="864"/>
      <c r="U94" s="864"/>
      <c r="V94" s="864"/>
    </row>
    <row r="95" spans="1:22">
      <c r="A95" s="864"/>
      <c r="B95" s="864"/>
      <c r="C95" s="864"/>
      <c r="D95" s="864"/>
      <c r="E95" s="864"/>
      <c r="F95" s="864"/>
      <c r="G95" s="864"/>
      <c r="H95" s="864"/>
      <c r="I95" s="864"/>
      <c r="J95" s="864"/>
      <c r="K95" s="864"/>
      <c r="L95" s="864"/>
      <c r="M95" s="864"/>
      <c r="N95" s="864"/>
      <c r="O95" s="862"/>
      <c r="P95" s="862"/>
      <c r="Q95" s="864"/>
      <c r="R95" s="864"/>
      <c r="S95" s="911"/>
      <c r="T95" s="864"/>
      <c r="U95" s="864"/>
      <c r="V95" s="864"/>
    </row>
    <row r="96" spans="1:22">
      <c r="A96" s="864"/>
      <c r="B96" s="864"/>
      <c r="C96" s="864"/>
      <c r="D96" s="864"/>
      <c r="E96" s="864"/>
      <c r="F96" s="864"/>
      <c r="G96" s="864"/>
      <c r="H96" s="864"/>
      <c r="I96" s="864"/>
      <c r="J96" s="864"/>
      <c r="K96" s="864"/>
      <c r="L96" s="864"/>
      <c r="M96" s="864"/>
      <c r="N96" s="864"/>
      <c r="O96" s="862"/>
      <c r="P96" s="862"/>
      <c r="Q96" s="864"/>
      <c r="R96" s="864"/>
      <c r="S96" s="911"/>
      <c r="T96" s="864"/>
      <c r="U96" s="864"/>
      <c r="V96" s="864"/>
    </row>
    <row r="97" spans="1:22">
      <c r="A97" s="864"/>
      <c r="B97" s="864"/>
      <c r="C97" s="864"/>
      <c r="D97" s="864"/>
      <c r="E97" s="864"/>
      <c r="F97" s="864"/>
      <c r="G97" s="864"/>
      <c r="H97" s="864"/>
      <c r="I97" s="864"/>
      <c r="J97" s="864"/>
      <c r="K97" s="864"/>
      <c r="L97" s="864"/>
      <c r="M97" s="864"/>
      <c r="N97" s="864"/>
      <c r="O97" s="862"/>
      <c r="P97" s="862"/>
      <c r="Q97" s="864"/>
      <c r="R97" s="864"/>
      <c r="S97" s="911"/>
      <c r="T97" s="864"/>
      <c r="U97" s="864"/>
      <c r="V97" s="864"/>
    </row>
    <row r="98" spans="1:22">
      <c r="A98" s="864"/>
      <c r="B98" s="864"/>
      <c r="C98" s="864"/>
      <c r="D98" s="864"/>
      <c r="E98" s="864"/>
      <c r="F98" s="864"/>
      <c r="G98" s="864"/>
      <c r="H98" s="864"/>
      <c r="I98" s="864"/>
      <c r="J98" s="864"/>
      <c r="K98" s="864"/>
      <c r="L98" s="864"/>
      <c r="M98" s="864"/>
      <c r="N98" s="864"/>
      <c r="O98" s="862"/>
      <c r="P98" s="862"/>
      <c r="Q98" s="864"/>
      <c r="R98" s="864"/>
      <c r="S98" s="911"/>
      <c r="T98" s="864"/>
      <c r="U98" s="864"/>
      <c r="V98" s="864"/>
    </row>
    <row r="99" spans="1:22">
      <c r="A99" s="864"/>
      <c r="B99" s="864"/>
      <c r="C99" s="864"/>
      <c r="D99" s="864"/>
      <c r="E99" s="864"/>
      <c r="F99" s="864"/>
      <c r="G99" s="864"/>
      <c r="H99" s="864"/>
      <c r="I99" s="864"/>
      <c r="J99" s="864"/>
      <c r="K99" s="864"/>
      <c r="L99" s="864"/>
      <c r="M99" s="864"/>
      <c r="N99" s="864"/>
      <c r="O99" s="862"/>
      <c r="P99" s="862"/>
      <c r="Q99" s="864"/>
      <c r="R99" s="864"/>
      <c r="S99" s="911"/>
      <c r="T99" s="864"/>
      <c r="U99" s="864"/>
      <c r="V99" s="864"/>
    </row>
    <row r="100" spans="1:22">
      <c r="A100" s="864"/>
      <c r="B100" s="864"/>
      <c r="C100" s="864"/>
      <c r="D100" s="864"/>
      <c r="E100" s="864"/>
      <c r="F100" s="864"/>
      <c r="G100" s="864"/>
      <c r="H100" s="864"/>
      <c r="I100" s="864"/>
      <c r="J100" s="864"/>
      <c r="K100" s="864"/>
      <c r="L100" s="864"/>
      <c r="M100" s="864"/>
      <c r="N100" s="864"/>
      <c r="O100" s="862"/>
      <c r="P100" s="862"/>
      <c r="Q100" s="864"/>
      <c r="R100" s="864"/>
      <c r="S100" s="911"/>
      <c r="T100" s="864"/>
      <c r="U100" s="864"/>
      <c r="V100" s="864"/>
    </row>
    <row r="101" spans="1:22">
      <c r="A101" s="864"/>
      <c r="B101" s="864"/>
      <c r="C101" s="864"/>
      <c r="D101" s="864"/>
      <c r="E101" s="864"/>
      <c r="F101" s="864"/>
      <c r="G101" s="864"/>
      <c r="H101" s="864"/>
      <c r="I101" s="864"/>
      <c r="J101" s="864"/>
      <c r="K101" s="864"/>
      <c r="L101" s="864"/>
      <c r="M101" s="864"/>
      <c r="N101" s="864"/>
      <c r="O101" s="862"/>
      <c r="P101" s="862"/>
      <c r="Q101" s="864"/>
      <c r="R101" s="864"/>
      <c r="S101" s="911"/>
      <c r="T101" s="864"/>
      <c r="U101" s="864"/>
      <c r="V101" s="864"/>
    </row>
    <row r="102" spans="1:22">
      <c r="O102" s="862"/>
      <c r="P102" s="862"/>
    </row>
    <row r="103" spans="1:22">
      <c r="O103" s="862"/>
      <c r="P103" s="862"/>
    </row>
    <row r="104" spans="1:22">
      <c r="O104" s="862"/>
      <c r="P104" s="862"/>
    </row>
    <row r="105" spans="1:22">
      <c r="O105" s="862"/>
      <c r="P105" s="862"/>
    </row>
    <row r="106" spans="1:22">
      <c r="O106" s="862"/>
      <c r="P106" s="862"/>
    </row>
    <row r="107" spans="1:22">
      <c r="O107" s="862"/>
      <c r="P107" s="862"/>
    </row>
    <row r="108" spans="1:22">
      <c r="O108" s="862"/>
      <c r="P108" s="862"/>
    </row>
    <row r="109" spans="1:22">
      <c r="O109" s="862"/>
      <c r="P109" s="862"/>
    </row>
    <row r="110" spans="1:22">
      <c r="O110" s="862"/>
      <c r="P110" s="862"/>
    </row>
    <row r="111" spans="1:22">
      <c r="O111" s="862"/>
      <c r="P111" s="862"/>
    </row>
    <row r="112" spans="1:22">
      <c r="O112" s="862"/>
      <c r="P112" s="862"/>
    </row>
    <row r="113" spans="15:16">
      <c r="O113" s="862"/>
      <c r="P113" s="862"/>
    </row>
    <row r="114" spans="15:16">
      <c r="O114" s="862"/>
      <c r="P114" s="862"/>
    </row>
    <row r="115" spans="15:16">
      <c r="O115" s="862"/>
      <c r="P115" s="862"/>
    </row>
    <row r="116" spans="15:16">
      <c r="O116" s="862"/>
      <c r="P116" s="862"/>
    </row>
    <row r="117" spans="15:16">
      <c r="O117" s="862"/>
      <c r="P117" s="862"/>
    </row>
    <row r="118" spans="15:16">
      <c r="O118" s="862"/>
      <c r="P118" s="862"/>
    </row>
    <row r="119" spans="15:16">
      <c r="O119" s="862"/>
      <c r="P119" s="862"/>
    </row>
    <row r="120" spans="15:16">
      <c r="O120" s="862"/>
      <c r="P120" s="862"/>
    </row>
    <row r="121" spans="15:16">
      <c r="O121" s="862"/>
      <c r="P121" s="862"/>
    </row>
    <row r="122" spans="15:16">
      <c r="O122" s="862"/>
      <c r="P122" s="862"/>
    </row>
    <row r="123" spans="15:16">
      <c r="O123" s="862"/>
      <c r="P123" s="862"/>
    </row>
    <row r="124" spans="15:16">
      <c r="O124" s="862"/>
      <c r="P124" s="862"/>
    </row>
    <row r="125" spans="15:16">
      <c r="O125" s="862"/>
      <c r="P125" s="862"/>
    </row>
    <row r="126" spans="15:16">
      <c r="O126" s="862"/>
      <c r="P126" s="862"/>
    </row>
    <row r="127" spans="15:16">
      <c r="O127" s="862"/>
      <c r="P127" s="862"/>
    </row>
    <row r="128" spans="15:16">
      <c r="O128" s="862"/>
      <c r="P128" s="862"/>
    </row>
    <row r="129" spans="15:16">
      <c r="O129" s="862"/>
      <c r="P129" s="862"/>
    </row>
    <row r="130" spans="15:16">
      <c r="O130" s="862"/>
      <c r="P130" s="862"/>
    </row>
    <row r="131" spans="15:16">
      <c r="O131" s="862"/>
      <c r="P131" s="862"/>
    </row>
    <row r="132" spans="15:16">
      <c r="O132" s="862"/>
      <c r="P132" s="862"/>
    </row>
    <row r="133" spans="15:16">
      <c r="O133" s="862"/>
      <c r="P133" s="862"/>
    </row>
    <row r="134" spans="15:16">
      <c r="O134" s="862"/>
      <c r="P134" s="862"/>
    </row>
  </sheetData>
  <mergeCells count="26">
    <mergeCell ref="E80:N80"/>
    <mergeCell ref="E81:N81"/>
    <mergeCell ref="E82:N82"/>
    <mergeCell ref="E83:N83"/>
    <mergeCell ref="E74:N74"/>
    <mergeCell ref="E75:N75"/>
    <mergeCell ref="E76:N76"/>
    <mergeCell ref="E77:N77"/>
    <mergeCell ref="E78:N78"/>
    <mergeCell ref="E79:N79"/>
    <mergeCell ref="A37:B38"/>
    <mergeCell ref="A39:B39"/>
    <mergeCell ref="A40:B40"/>
    <mergeCell ref="E36:E37"/>
    <mergeCell ref="E72:N72"/>
    <mergeCell ref="E73:N73"/>
    <mergeCell ref="I38:I39"/>
    <mergeCell ref="M36:M37"/>
    <mergeCell ref="I40:I41"/>
    <mergeCell ref="E71:N71"/>
    <mergeCell ref="A1:B1"/>
    <mergeCell ref="R23:S23"/>
    <mergeCell ref="R18:S18"/>
    <mergeCell ref="R19:S19"/>
    <mergeCell ref="R20:S20"/>
    <mergeCell ref="R22:S22"/>
  </mergeCells>
  <pageMargins left="0.13" right="0.13" top="0.19" bottom="0.24" header="0.14000000000000001" footer="0.13"/>
  <pageSetup paperSize="9" scale="53" orientation="portrait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11" enableFormatConditionsCalculation="0">
    <tabColor rgb="FFCCFFFF"/>
    <pageSetUpPr fitToPage="1"/>
  </sheetPr>
  <dimension ref="A1:AB218"/>
  <sheetViews>
    <sheetView showGridLines="0" showRowColHeaders="0" topLeftCell="A70" zoomScale="125" zoomScaleNormal="125" zoomScalePageLayoutView="125" workbookViewId="0">
      <selection activeCell="E75" sqref="E75:N75"/>
    </sheetView>
  </sheetViews>
  <sheetFormatPr baseColWidth="10" defaultRowHeight="13" x14ac:dyDescent="0"/>
  <cols>
    <col min="1" max="1" width="12.5" bestFit="1" customWidth="1"/>
    <col min="2" max="2" width="13" customWidth="1"/>
    <col min="3" max="15" width="15.6640625" customWidth="1"/>
    <col min="16" max="16" width="3.1640625" customWidth="1"/>
    <col min="17" max="17" width="13" customWidth="1"/>
    <col min="19" max="19" width="10.83203125" style="1" customWidth="1"/>
  </cols>
  <sheetData>
    <row r="1" spans="1:22" ht="28" customHeight="1">
      <c r="A1" s="1453" t="str">
        <f>'IN (mmol|L)'!R87</f>
        <v>IV. Quartal</v>
      </c>
      <c r="B1" s="1454"/>
      <c r="C1" s="581">
        <f>'IN (mmol|L)'!E82</f>
        <v>41547</v>
      </c>
      <c r="D1" s="581">
        <f>'IN (mmol|L)'!F82</f>
        <v>41554</v>
      </c>
      <c r="E1" s="581">
        <f>'IN (mmol|L)'!G82</f>
        <v>41561</v>
      </c>
      <c r="F1" s="581">
        <f>'IN (mmol|L)'!H82</f>
        <v>41568</v>
      </c>
      <c r="G1" s="581">
        <f>'IN (mmol|L)'!I82</f>
        <v>41575</v>
      </c>
      <c r="H1" s="581">
        <f>'IN (mmol|L)'!J82</f>
        <v>41582</v>
      </c>
      <c r="I1" s="582">
        <f>'IN (mmol|L)'!K82</f>
        <v>41589</v>
      </c>
      <c r="J1" s="583">
        <f>'IN (mmol|L)'!L82</f>
        <v>41596</v>
      </c>
      <c r="K1" s="584">
        <f>'IN (mmol|L)'!M82</f>
        <v>41603</v>
      </c>
      <c r="L1" s="581">
        <f>'IN (mmol|L)'!N82</f>
        <v>41610</v>
      </c>
      <c r="M1" s="581">
        <f>'IN (mmol|L)'!O82</f>
        <v>41617</v>
      </c>
      <c r="N1" s="581">
        <f>'IN (mmol|L)'!P82</f>
        <v>41624</v>
      </c>
      <c r="O1" s="581">
        <f>'IN (mmol|L)'!Q82</f>
        <v>41631</v>
      </c>
      <c r="P1" s="106"/>
    </row>
    <row r="2" spans="1:22" ht="4.7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34"/>
      <c r="Q2" s="34"/>
      <c r="R2" s="34"/>
      <c r="S2" s="35"/>
      <c r="T2" s="34"/>
      <c r="U2" s="34"/>
      <c r="V2" s="2"/>
    </row>
    <row r="3" spans="1:22">
      <c r="A3" s="34"/>
      <c r="B3" s="35"/>
      <c r="C3" s="36"/>
      <c r="D3" s="37"/>
      <c r="E3" s="38"/>
      <c r="F3" s="39"/>
      <c r="G3" s="40"/>
      <c r="H3" s="41"/>
      <c r="I3" s="42"/>
      <c r="J3" s="43"/>
      <c r="K3" s="44"/>
      <c r="L3" s="44"/>
      <c r="M3" s="44"/>
      <c r="N3" s="44"/>
      <c r="O3" s="45"/>
      <c r="P3" s="46"/>
      <c r="Q3" s="46"/>
      <c r="R3" s="46"/>
      <c r="S3" s="46"/>
      <c r="T3" s="46"/>
      <c r="U3" s="34"/>
      <c r="V3" s="2"/>
    </row>
    <row r="4" spans="1:22">
      <c r="A4" s="34"/>
      <c r="B4" s="47"/>
      <c r="C4" s="48"/>
      <c r="D4" s="49"/>
      <c r="E4" s="50"/>
      <c r="F4" s="48"/>
      <c r="G4" s="48"/>
      <c r="H4" s="48"/>
      <c r="I4" s="48"/>
      <c r="J4" s="50"/>
      <c r="K4" s="48"/>
      <c r="L4" s="48"/>
      <c r="M4" s="48"/>
      <c r="N4" s="48"/>
      <c r="O4" s="48"/>
      <c r="P4" s="51"/>
      <c r="Q4" s="51"/>
      <c r="R4" s="51"/>
      <c r="S4" s="46"/>
      <c r="T4" s="51"/>
      <c r="U4" s="34"/>
      <c r="V4" s="2"/>
    </row>
    <row r="5" spans="1:22">
      <c r="A5" s="34"/>
      <c r="B5" s="47"/>
      <c r="C5" s="48"/>
      <c r="D5" s="49"/>
      <c r="E5" s="48"/>
      <c r="F5" s="50"/>
      <c r="G5" s="48"/>
      <c r="H5" s="48"/>
      <c r="I5" s="48"/>
      <c r="J5" s="50"/>
      <c r="K5" s="48"/>
      <c r="L5" s="48"/>
      <c r="M5" s="48"/>
      <c r="N5" s="48"/>
      <c r="O5" s="48"/>
      <c r="P5" s="51"/>
      <c r="Q5" s="51"/>
      <c r="R5" s="51"/>
      <c r="S5" s="46"/>
      <c r="T5" s="51"/>
      <c r="U5" s="34"/>
      <c r="V5" s="2"/>
    </row>
    <row r="6" spans="1:22">
      <c r="A6" s="34"/>
      <c r="B6" s="47"/>
      <c r="C6" s="48"/>
      <c r="D6" s="49"/>
      <c r="E6" s="48"/>
      <c r="F6" s="48"/>
      <c r="G6" s="50"/>
      <c r="H6" s="48"/>
      <c r="I6" s="48"/>
      <c r="J6" s="50"/>
      <c r="K6" s="48"/>
      <c r="L6" s="48"/>
      <c r="M6" s="48"/>
      <c r="N6" s="48"/>
      <c r="O6" s="48"/>
      <c r="P6" s="51"/>
      <c r="Q6" s="51"/>
      <c r="R6" s="51"/>
      <c r="S6" s="46"/>
      <c r="T6" s="51"/>
      <c r="U6" s="34"/>
      <c r="V6" s="2"/>
    </row>
    <row r="7" spans="1:22">
      <c r="A7" s="34"/>
      <c r="B7" s="47"/>
      <c r="C7" s="50"/>
      <c r="D7" s="49"/>
      <c r="E7" s="50"/>
      <c r="F7" s="48"/>
      <c r="G7" s="48"/>
      <c r="H7" s="48"/>
      <c r="I7" s="50"/>
      <c r="J7" s="48"/>
      <c r="K7" s="48"/>
      <c r="L7" s="48"/>
      <c r="M7" s="48"/>
      <c r="N7" s="48"/>
      <c r="O7" s="48"/>
      <c r="P7" s="51"/>
      <c r="Q7" s="51"/>
      <c r="R7" s="51"/>
      <c r="S7" s="46"/>
      <c r="T7" s="51"/>
      <c r="U7" s="34"/>
      <c r="V7" s="2"/>
    </row>
    <row r="8" spans="1:22">
      <c r="A8" s="34"/>
      <c r="B8" s="47"/>
      <c r="C8" s="50"/>
      <c r="D8" s="49"/>
      <c r="E8" s="48"/>
      <c r="F8" s="50"/>
      <c r="G8" s="48"/>
      <c r="H8" s="48"/>
      <c r="I8" s="48"/>
      <c r="J8" s="50"/>
      <c r="K8" s="48"/>
      <c r="L8" s="48"/>
      <c r="M8" s="48"/>
      <c r="N8" s="48"/>
      <c r="O8" s="48"/>
      <c r="P8" s="51"/>
      <c r="Q8" s="51"/>
      <c r="R8" s="51"/>
      <c r="S8" s="46"/>
      <c r="T8" s="51"/>
      <c r="U8" s="34"/>
      <c r="V8" s="2"/>
    </row>
    <row r="9" spans="1:22">
      <c r="A9" s="34"/>
      <c r="B9" s="47"/>
      <c r="C9" s="50"/>
      <c r="D9" s="49"/>
      <c r="E9" s="48"/>
      <c r="F9" s="48"/>
      <c r="G9" s="50"/>
      <c r="H9" s="48"/>
      <c r="I9" s="48"/>
      <c r="J9" s="50"/>
      <c r="K9" s="48"/>
      <c r="L9" s="48"/>
      <c r="M9" s="48"/>
      <c r="N9" s="48"/>
      <c r="O9" s="48"/>
      <c r="P9" s="51"/>
      <c r="Q9" s="51"/>
      <c r="R9" s="51"/>
      <c r="S9" s="46"/>
      <c r="T9" s="51"/>
      <c r="U9" s="34"/>
      <c r="V9" s="2"/>
    </row>
    <row r="10" spans="1:22">
      <c r="A10" s="34"/>
      <c r="B10" s="47"/>
      <c r="C10" s="50"/>
      <c r="D10" s="49"/>
      <c r="E10" s="48"/>
      <c r="F10" s="50"/>
      <c r="G10" s="48"/>
      <c r="H10" s="48"/>
      <c r="I10" s="48"/>
      <c r="J10" s="48"/>
      <c r="K10" s="48"/>
      <c r="L10" s="48"/>
      <c r="M10" s="48"/>
      <c r="N10" s="48"/>
      <c r="O10" s="48"/>
      <c r="P10" s="51"/>
      <c r="Q10" s="51"/>
      <c r="R10" s="51"/>
      <c r="S10" s="46"/>
      <c r="T10" s="51"/>
      <c r="U10" s="34"/>
      <c r="V10" s="2"/>
    </row>
    <row r="11" spans="1:22">
      <c r="A11" s="34"/>
      <c r="B11" s="47"/>
      <c r="C11" s="50"/>
      <c r="D11" s="49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51"/>
      <c r="Q11" s="51"/>
      <c r="R11" s="51"/>
      <c r="S11" s="46"/>
      <c r="T11" s="51"/>
      <c r="U11" s="34"/>
      <c r="V11" s="2"/>
    </row>
    <row r="12" spans="1:22">
      <c r="A12" s="34"/>
      <c r="B12" s="47"/>
      <c r="C12" s="50"/>
      <c r="D12" s="49"/>
      <c r="E12" s="48"/>
      <c r="F12" s="48"/>
      <c r="G12" s="48"/>
      <c r="H12" s="48"/>
      <c r="I12" s="50"/>
      <c r="J12" s="50"/>
      <c r="K12" s="48"/>
      <c r="L12" s="48"/>
      <c r="M12" s="48"/>
      <c r="N12" s="48"/>
      <c r="O12" s="48"/>
      <c r="P12" s="51"/>
      <c r="Q12" s="51"/>
      <c r="R12" s="51"/>
      <c r="S12" s="46"/>
      <c r="T12" s="51"/>
      <c r="U12" s="34"/>
      <c r="V12" s="2"/>
    </row>
    <row r="13" spans="1:22">
      <c r="A13" s="34"/>
      <c r="B13" s="35"/>
      <c r="C13" s="52"/>
      <c r="D13" s="53"/>
      <c r="E13" s="54"/>
      <c r="F13" s="55"/>
      <c r="G13" s="56"/>
      <c r="H13" s="57"/>
      <c r="I13" s="58"/>
      <c r="J13" s="59"/>
      <c r="K13" s="60"/>
      <c r="L13" s="60"/>
      <c r="M13" s="60"/>
      <c r="N13" s="60"/>
      <c r="O13" s="61"/>
      <c r="P13" s="34"/>
      <c r="Q13" s="62"/>
      <c r="R13" s="63"/>
      <c r="S13" s="36"/>
      <c r="T13" s="63"/>
      <c r="U13" s="34"/>
      <c r="V13" s="2"/>
    </row>
    <row r="14" spans="1:22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64"/>
      <c r="Q14" s="62"/>
      <c r="R14" s="63"/>
      <c r="S14" s="65"/>
      <c r="T14" s="34"/>
      <c r="U14" s="34"/>
      <c r="V14" s="2"/>
    </row>
    <row r="15" spans="1:22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63"/>
      <c r="Q15" s="62"/>
      <c r="R15" s="63"/>
      <c r="S15" s="36"/>
      <c r="T15" s="34"/>
      <c r="U15" s="34"/>
      <c r="V15" s="2"/>
    </row>
    <row r="16" spans="1:22">
      <c r="A16" s="34"/>
      <c r="B16" s="3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7"/>
      <c r="Q16" s="62"/>
      <c r="R16" s="63"/>
      <c r="S16" s="36"/>
      <c r="T16" s="34"/>
      <c r="U16" s="34"/>
      <c r="V16" s="2"/>
    </row>
    <row r="17" spans="1:28">
      <c r="A17" s="34"/>
      <c r="B17" s="35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34"/>
      <c r="Q17" s="34"/>
      <c r="R17" s="34"/>
      <c r="S17" s="35"/>
      <c r="T17" s="34"/>
      <c r="U17" s="34"/>
      <c r="V17" s="2"/>
    </row>
    <row r="18" spans="1:28">
      <c r="A18" s="34"/>
      <c r="B18" s="35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8"/>
      <c r="Q18" s="70"/>
      <c r="R18" s="1418"/>
      <c r="S18" s="1418"/>
      <c r="T18" s="71"/>
      <c r="U18" s="34"/>
      <c r="V18" s="2"/>
    </row>
    <row r="19" spans="1:28">
      <c r="A19" s="34"/>
      <c r="B19" s="35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72"/>
      <c r="Q19" s="70"/>
      <c r="R19" s="1418"/>
      <c r="S19" s="1418"/>
      <c r="T19" s="73"/>
      <c r="U19" s="34"/>
      <c r="V19" s="2"/>
    </row>
    <row r="20" spans="1:28">
      <c r="A20" s="34"/>
      <c r="B20" s="74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2"/>
      <c r="Q20" s="70"/>
      <c r="R20" s="1418"/>
      <c r="S20" s="1418"/>
      <c r="T20" s="48"/>
      <c r="U20" s="34"/>
      <c r="V20" s="2"/>
    </row>
    <row r="21" spans="1:28">
      <c r="A21" s="34"/>
      <c r="B21" s="35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72"/>
      <c r="Q21" s="70"/>
      <c r="R21" s="70"/>
      <c r="S21" s="34"/>
      <c r="T21" s="76"/>
      <c r="U21" s="34"/>
      <c r="V21" s="2"/>
    </row>
    <row r="22" spans="1:28">
      <c r="A22" s="34"/>
      <c r="B22" s="35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72"/>
      <c r="Q22" s="70"/>
      <c r="R22" s="1418"/>
      <c r="S22" s="1418"/>
      <c r="T22" s="77"/>
      <c r="U22" s="34"/>
      <c r="V22" s="2"/>
    </row>
    <row r="23" spans="1:28">
      <c r="A23" s="34"/>
      <c r="B23" s="74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2"/>
      <c r="Q23" s="70"/>
      <c r="R23" s="1418"/>
      <c r="S23" s="1418"/>
      <c r="T23" s="77"/>
      <c r="U23" s="34"/>
      <c r="V23" s="2"/>
    </row>
    <row r="24" spans="1:28">
      <c r="A24" s="34"/>
      <c r="B24" s="47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2"/>
      <c r="Q24" s="70"/>
      <c r="R24" s="70"/>
      <c r="S24" s="68"/>
      <c r="T24" s="34"/>
      <c r="U24" s="34"/>
      <c r="V24" s="2"/>
    </row>
    <row r="25" spans="1:28">
      <c r="A25" s="2"/>
      <c r="B25" s="2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8"/>
      <c r="Q25" s="27"/>
      <c r="R25" s="27"/>
      <c r="S25" s="26"/>
      <c r="T25" s="2"/>
      <c r="U25" s="2"/>
      <c r="V25" s="2"/>
    </row>
    <row r="26" spans="1:28">
      <c r="A26" s="2"/>
      <c r="B26" s="6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8"/>
      <c r="Q26" s="27"/>
      <c r="R26" s="27"/>
      <c r="S26" s="26"/>
      <c r="T26" s="2"/>
      <c r="U26" s="2"/>
      <c r="V26" s="2"/>
    </row>
    <row r="27" spans="1:28">
      <c r="A27" s="2"/>
      <c r="B27" s="6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8"/>
      <c r="Q27" s="27"/>
      <c r="R27" s="27"/>
      <c r="S27" s="26"/>
      <c r="T27" s="10"/>
      <c r="U27" s="2"/>
      <c r="V27" s="2"/>
    </row>
    <row r="28" spans="1:28">
      <c r="A28" s="2"/>
      <c r="B28" s="6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8"/>
      <c r="Q28" s="27"/>
      <c r="R28" s="27"/>
      <c r="S28" s="26"/>
      <c r="T28" s="10"/>
      <c r="U28" s="2"/>
      <c r="V28" s="2"/>
    </row>
    <row r="29" spans="1:28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7"/>
      <c r="Q29" s="27"/>
      <c r="R29" s="27"/>
      <c r="S29" s="26"/>
      <c r="T29" s="10"/>
      <c r="U29" s="2"/>
      <c r="V29" s="2"/>
    </row>
    <row r="30" spans="1:28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26"/>
      <c r="Q30" s="27"/>
      <c r="R30" s="27"/>
      <c r="S30" s="27"/>
      <c r="T30" s="10"/>
      <c r="U30" s="2"/>
      <c r="V30" s="2"/>
      <c r="AB30" s="1"/>
    </row>
    <row r="31" spans="1:28">
      <c r="A31" s="2"/>
      <c r="B31" s="25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28"/>
      <c r="R31" s="31"/>
      <c r="S31" s="32"/>
      <c r="T31" s="10"/>
      <c r="U31" s="2"/>
      <c r="V31" s="2"/>
    </row>
    <row r="32" spans="1:28">
      <c r="A32" s="2"/>
      <c r="B32" s="25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28"/>
      <c r="R32" s="31"/>
      <c r="S32" s="32"/>
      <c r="T32" s="10"/>
      <c r="U32" s="2"/>
      <c r="V32" s="2"/>
    </row>
    <row r="33" spans="1:22">
      <c r="A33" s="2"/>
      <c r="B33" s="25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28"/>
      <c r="R33" s="31"/>
      <c r="S33" s="32"/>
      <c r="T33" s="10"/>
      <c r="U33" s="2"/>
      <c r="V33" s="2"/>
    </row>
    <row r="34" spans="1:22">
      <c r="A34" s="2"/>
      <c r="B34" s="2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28"/>
      <c r="R34" s="31"/>
      <c r="S34" s="32"/>
      <c r="T34" s="10"/>
      <c r="U34" s="2"/>
      <c r="V34" s="2"/>
    </row>
    <row r="35" spans="1:22">
      <c r="A35" s="2"/>
      <c r="B35" s="25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28"/>
      <c r="R35" s="31"/>
      <c r="S35" s="32"/>
      <c r="T35" s="10"/>
      <c r="U35" s="2"/>
      <c r="V35" s="2"/>
    </row>
    <row r="36" spans="1:22" ht="14" thickBot="1">
      <c r="A36" s="2"/>
      <c r="B36" s="25"/>
      <c r="C36" s="113"/>
      <c r="D36" s="107"/>
      <c r="E36" s="1415" t="str">
        <f>CONCATENATE(ROUND('IN (mmol|L)'!S83,1)," %")</f>
        <v>7 %</v>
      </c>
      <c r="F36" s="107"/>
      <c r="G36" s="111"/>
      <c r="H36" s="71"/>
      <c r="I36" s="71"/>
      <c r="J36" s="29"/>
      <c r="K36" s="113"/>
      <c r="L36" s="107"/>
      <c r="M36" s="1415" t="str">
        <f>CONCATENATE(ROUND('IN (mmol|L)'!S85,1)," %")</f>
        <v>7 %</v>
      </c>
      <c r="N36" s="107"/>
      <c r="O36" s="111"/>
      <c r="P36" s="30"/>
      <c r="Q36" s="28"/>
      <c r="R36" s="31"/>
      <c r="S36" s="32"/>
      <c r="T36" s="10"/>
      <c r="U36" s="2"/>
      <c r="V36" s="2"/>
    </row>
    <row r="37" spans="1:22" ht="13" customHeight="1">
      <c r="A37" s="1455" t="s">
        <v>25</v>
      </c>
      <c r="B37" s="1455"/>
      <c r="C37" s="114"/>
      <c r="D37" s="211"/>
      <c r="E37" s="1415"/>
      <c r="F37" s="211"/>
      <c r="G37" s="112"/>
      <c r="H37" s="110"/>
      <c r="I37" s="110"/>
      <c r="J37" s="110"/>
      <c r="K37" s="114"/>
      <c r="L37" s="211"/>
      <c r="M37" s="1415"/>
      <c r="N37" s="211"/>
      <c r="O37" s="112"/>
      <c r="P37" s="30"/>
      <c r="Q37" s="28"/>
      <c r="R37" s="31"/>
      <c r="S37" s="32"/>
      <c r="T37" s="10"/>
      <c r="U37" s="2"/>
      <c r="V37" s="2"/>
    </row>
    <row r="38" spans="1:22" ht="13.75" customHeight="1" thickBot="1">
      <c r="A38" s="1455"/>
      <c r="B38" s="1455"/>
      <c r="C38" s="116"/>
      <c r="D38" s="71"/>
      <c r="E38" s="71"/>
      <c r="F38" s="71"/>
      <c r="G38" s="113"/>
      <c r="H38" s="212"/>
      <c r="I38" s="1417" t="str">
        <f>CONCATENATE(ROUND('IN (mmol|L)'!S84,1)," %")</f>
        <v>7 %</v>
      </c>
      <c r="J38" s="212"/>
      <c r="K38" s="111"/>
      <c r="L38" s="71"/>
      <c r="M38" s="71"/>
      <c r="N38" s="71"/>
      <c r="O38" s="115"/>
      <c r="P38" s="30"/>
      <c r="Q38" s="28"/>
      <c r="R38" s="31"/>
      <c r="S38" s="32"/>
      <c r="T38" s="10"/>
      <c r="U38" s="2"/>
      <c r="V38" s="2"/>
    </row>
    <row r="39" spans="1:22" ht="18">
      <c r="A39" s="1456" t="s">
        <v>1</v>
      </c>
      <c r="B39" s="1457"/>
      <c r="C39" s="116"/>
      <c r="D39" s="71"/>
      <c r="E39" s="71"/>
      <c r="F39" s="71"/>
      <c r="G39" s="114"/>
      <c r="H39" s="108"/>
      <c r="I39" s="1415"/>
      <c r="J39" s="108"/>
      <c r="K39" s="112"/>
      <c r="L39" s="71"/>
      <c r="M39" s="71"/>
      <c r="N39" s="71"/>
      <c r="O39" s="115"/>
      <c r="P39" s="30"/>
      <c r="Q39" s="28"/>
      <c r="R39" s="31"/>
      <c r="S39" s="32"/>
      <c r="T39" s="10"/>
      <c r="U39" s="2"/>
      <c r="V39" s="2"/>
    </row>
    <row r="40" spans="1:22" ht="19" thickBot="1">
      <c r="A40" s="1458" t="s">
        <v>2</v>
      </c>
      <c r="B40" s="1459"/>
      <c r="C40" s="235"/>
      <c r="D40" s="109"/>
      <c r="E40" s="109"/>
      <c r="F40" s="109"/>
      <c r="G40" s="109"/>
      <c r="H40" s="109"/>
      <c r="I40" s="1460" t="str">
        <f>CONCATENATE(ROUND('IN (mmol|L)'!S82,1)," %")</f>
        <v>7 %</v>
      </c>
      <c r="J40" s="250"/>
      <c r="K40" s="109"/>
      <c r="L40" s="109"/>
      <c r="M40" s="109"/>
      <c r="N40" s="109"/>
      <c r="O40" s="237"/>
      <c r="P40" s="10"/>
      <c r="Q40" s="10"/>
      <c r="R40" s="10"/>
      <c r="S40" s="24"/>
      <c r="T40" s="10"/>
      <c r="U40" s="2"/>
      <c r="V40" s="2"/>
    </row>
    <row r="41" spans="1:22">
      <c r="A41" s="2"/>
      <c r="B41" s="2"/>
      <c r="C41" s="236"/>
      <c r="D41" s="117"/>
      <c r="E41" s="106"/>
      <c r="F41" s="106"/>
      <c r="G41" s="106"/>
      <c r="H41" s="106"/>
      <c r="I41" s="1461"/>
      <c r="J41" s="251"/>
      <c r="K41" s="106"/>
      <c r="L41" s="106"/>
      <c r="M41" s="117"/>
      <c r="N41" s="117"/>
      <c r="O41" s="238"/>
      <c r="P41" s="10"/>
      <c r="Q41" s="10"/>
      <c r="R41" s="10"/>
      <c r="S41" s="24"/>
      <c r="T41" s="10"/>
      <c r="U41" s="2"/>
      <c r="V41" s="2"/>
    </row>
    <row r="42" spans="1:22">
      <c r="A42" s="2"/>
      <c r="B42" s="25"/>
      <c r="C42" s="2"/>
      <c r="D42" s="25"/>
      <c r="E42" s="7"/>
      <c r="F42" s="7"/>
      <c r="G42" s="7"/>
      <c r="H42" s="2"/>
      <c r="I42" s="2"/>
      <c r="J42" s="2"/>
      <c r="K42" s="2"/>
      <c r="L42" s="2"/>
      <c r="M42" s="10"/>
      <c r="N42" s="10"/>
      <c r="O42" s="10"/>
      <c r="P42" s="10"/>
      <c r="Q42" s="10"/>
      <c r="R42" s="10"/>
      <c r="S42" s="24"/>
      <c r="T42" s="10"/>
      <c r="U42" s="2"/>
      <c r="V42" s="2"/>
    </row>
    <row r="43" spans="1:22">
      <c r="A43" s="2"/>
      <c r="B43" s="25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10"/>
      <c r="Q43" s="10"/>
      <c r="R43" s="10"/>
      <c r="S43" s="24"/>
      <c r="T43" s="10"/>
      <c r="U43" s="2"/>
      <c r="V43" s="2"/>
    </row>
    <row r="44" spans="1:22">
      <c r="A44" s="2"/>
      <c r="B44" s="2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10"/>
      <c r="Q44" s="10"/>
      <c r="R44" s="10"/>
      <c r="S44" s="24"/>
      <c r="T44" s="10"/>
      <c r="U44" s="2"/>
      <c r="V44" s="2"/>
    </row>
    <row r="45" spans="1:22">
      <c r="A45" s="2"/>
      <c r="B45" s="25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"/>
      <c r="Q45" s="2"/>
      <c r="R45" s="2"/>
      <c r="S45" s="6"/>
      <c r="T45" s="2"/>
      <c r="U45" s="2"/>
      <c r="V45" s="2"/>
    </row>
    <row r="46" spans="1:2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6"/>
      <c r="T46" s="2"/>
      <c r="U46" s="2"/>
      <c r="V46" s="2"/>
    </row>
    <row r="47" spans="1:22">
      <c r="A47" s="2"/>
      <c r="B47" s="2"/>
      <c r="C47" s="2"/>
      <c r="D47" s="25"/>
      <c r="E47" s="6"/>
      <c r="F47" s="6"/>
      <c r="G47" s="6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6"/>
      <c r="T47" s="2"/>
      <c r="U47" s="2"/>
      <c r="V47" s="2"/>
    </row>
    <row r="48" spans="1:22">
      <c r="A48" s="2"/>
      <c r="B48" s="2"/>
      <c r="C48" s="2"/>
      <c r="D48" s="25"/>
      <c r="E48" s="7"/>
      <c r="F48" s="7"/>
      <c r="G48" s="7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6"/>
      <c r="T48" s="2"/>
      <c r="U48" s="2"/>
      <c r="V48" s="2"/>
    </row>
    <row r="49" spans="1:22">
      <c r="A49" s="2"/>
      <c r="B49" s="2"/>
      <c r="C49" s="2"/>
      <c r="D49" s="25"/>
      <c r="E49" s="7"/>
      <c r="F49" s="7"/>
      <c r="G49" s="7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6"/>
      <c r="T49" s="2"/>
      <c r="U49" s="2"/>
      <c r="V49" s="2"/>
    </row>
    <row r="50" spans="1:22">
      <c r="A50" s="2"/>
      <c r="B50" s="2"/>
      <c r="C50" s="2"/>
      <c r="D50" s="25"/>
      <c r="E50" s="7"/>
      <c r="F50" s="7"/>
      <c r="G50" s="7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6"/>
      <c r="T50" s="2"/>
      <c r="U50" s="2"/>
      <c r="V50" s="2"/>
    </row>
    <row r="51" spans="1:22">
      <c r="A51" s="2"/>
      <c r="B51" s="2"/>
      <c r="C51" s="2"/>
      <c r="D51" s="25"/>
      <c r="E51" s="7"/>
      <c r="F51" s="7"/>
      <c r="G51" s="7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6"/>
      <c r="T51" s="2"/>
      <c r="U51" s="2"/>
      <c r="V51" s="2"/>
    </row>
    <row r="52" spans="1:22">
      <c r="A52" s="2"/>
      <c r="B52" s="2"/>
      <c r="C52" s="2"/>
      <c r="D52" s="25"/>
      <c r="E52" s="7"/>
      <c r="F52" s="7"/>
      <c r="G52" s="7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6"/>
      <c r="T52" s="2"/>
      <c r="U52" s="2"/>
      <c r="V52" s="2"/>
    </row>
    <row r="53" spans="1:22">
      <c r="A53" s="2"/>
      <c r="B53" s="2"/>
      <c r="C53" s="2"/>
      <c r="D53" s="25"/>
      <c r="E53" s="7"/>
      <c r="F53" s="7"/>
      <c r="G53" s="7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6"/>
      <c r="T53" s="2"/>
      <c r="U53" s="2"/>
      <c r="V53" s="2"/>
    </row>
    <row r="54" spans="1:22">
      <c r="A54" s="2"/>
      <c r="B54" s="2"/>
      <c r="C54" s="2"/>
      <c r="D54" s="25"/>
      <c r="E54" s="7"/>
      <c r="F54" s="7"/>
      <c r="G54" s="7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6"/>
      <c r="T54" s="2"/>
      <c r="U54" s="2"/>
      <c r="V54" s="2"/>
    </row>
    <row r="55" spans="1:22">
      <c r="A55" s="2"/>
      <c r="B55" s="2"/>
      <c r="C55" s="2"/>
      <c r="D55" s="25"/>
      <c r="E55" s="7"/>
      <c r="F55" s="7"/>
      <c r="G55" s="7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6"/>
      <c r="T55" s="2"/>
      <c r="U55" s="2"/>
      <c r="V55" s="2"/>
    </row>
    <row r="56" spans="1:22">
      <c r="A56" s="2"/>
      <c r="B56" s="2"/>
      <c r="C56" s="2"/>
      <c r="D56" s="25"/>
      <c r="E56" s="7"/>
      <c r="F56" s="7"/>
      <c r="G56" s="7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6"/>
      <c r="T56" s="2"/>
      <c r="U56" s="2"/>
      <c r="V56" s="2"/>
    </row>
    <row r="57" spans="1:22">
      <c r="A57" s="2"/>
      <c r="B57" s="2"/>
      <c r="C57" s="2"/>
      <c r="D57" s="3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6"/>
      <c r="T57" s="2"/>
      <c r="U57" s="2"/>
      <c r="V57" s="2"/>
    </row>
    <row r="58" spans="1:22">
      <c r="A58" s="2"/>
      <c r="B58" s="2"/>
      <c r="C58" s="2"/>
      <c r="D58" s="3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6"/>
      <c r="T58" s="2"/>
      <c r="U58" s="2"/>
      <c r="V58" s="2"/>
    </row>
    <row r="59" spans="1:2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6"/>
      <c r="T59" s="2"/>
      <c r="U59" s="2"/>
      <c r="V59" s="2"/>
    </row>
    <row r="60" spans="1:2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6"/>
      <c r="T60" s="2"/>
      <c r="U60" s="2"/>
      <c r="V60" s="2"/>
    </row>
    <row r="61" spans="1:2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6"/>
      <c r="T61" s="2"/>
      <c r="U61" s="2"/>
      <c r="V61" s="2"/>
    </row>
    <row r="62" spans="1:2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6"/>
      <c r="T62" s="2"/>
      <c r="U62" s="2"/>
      <c r="V62" s="2"/>
    </row>
    <row r="63" spans="1:2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6"/>
      <c r="T63" s="2"/>
      <c r="U63" s="2"/>
      <c r="V63" s="2"/>
    </row>
    <row r="64" spans="1:2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6"/>
      <c r="T64" s="2"/>
      <c r="U64" s="2"/>
      <c r="V64" s="2"/>
    </row>
    <row r="65" spans="1:2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6"/>
      <c r="T65" s="2"/>
      <c r="U65" s="2"/>
      <c r="V65" s="2"/>
    </row>
    <row r="66" spans="1:2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6"/>
      <c r="T66" s="2"/>
      <c r="U66" s="2"/>
      <c r="V66" s="2"/>
    </row>
    <row r="67" spans="1:2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6"/>
      <c r="T67" s="2"/>
      <c r="U67" s="2"/>
      <c r="V67" s="2"/>
    </row>
    <row r="68" spans="1:2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6"/>
      <c r="T68" s="2"/>
      <c r="U68" s="2"/>
      <c r="V68" s="2"/>
    </row>
    <row r="69" spans="1:2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6"/>
      <c r="T69" s="2"/>
      <c r="U69" s="2"/>
      <c r="V69" s="2"/>
    </row>
    <row r="70" spans="1:22">
      <c r="A70" s="181" t="s">
        <v>93</v>
      </c>
      <c r="B70" s="182" t="str">
        <f>'IN (mmol|L)'!D$18</f>
        <v>I.E. / Basal</v>
      </c>
      <c r="C70" s="183" t="str">
        <f>'IN (mmol|L)'!D$19</f>
        <v>BE</v>
      </c>
      <c r="D70" s="451" t="s">
        <v>87</v>
      </c>
      <c r="E70" s="184" t="str">
        <f>CONCATENATE('IN (mmol|L)'!D$20," / ",'IN (mmol|L)'!D$21," / ",'IN (mmol|L)'!D$22," / ",'IN (mmol|L)'!D$23)</f>
        <v>Sport / Krankheit / Besonderheiten / Sonstiges</v>
      </c>
      <c r="F70" s="185"/>
      <c r="G70" s="185"/>
      <c r="H70" s="185"/>
      <c r="I70" s="185"/>
      <c r="J70" s="185"/>
      <c r="K70" s="185"/>
      <c r="L70" s="185"/>
      <c r="M70" s="185"/>
      <c r="N70" s="185"/>
      <c r="O70" s="266"/>
      <c r="P70" s="266"/>
      <c r="Q70" s="2"/>
      <c r="R70" s="2"/>
      <c r="S70" s="6"/>
      <c r="T70" s="2"/>
      <c r="U70" s="2"/>
      <c r="V70" s="2"/>
    </row>
    <row r="71" spans="1:22" ht="39" customHeight="1">
      <c r="A71" s="1568">
        <f>C$1</f>
        <v>41547</v>
      </c>
      <c r="B71" s="1295" t="str">
        <f>IF('IN (mmol|L)'!$E$87=0,"",'IN (mmol|L)'!$E$87)</f>
        <v>15 - 10 - 09/ 10+15</v>
      </c>
      <c r="C71" s="1296" t="str">
        <f>IF('IN (mmol|L)'!$E$88=0,"",'IN (mmol|L)'!$E$88)</f>
        <v>05 - 04 - 03</v>
      </c>
      <c r="D71" s="1569" t="str">
        <f>IF(OR(B71="",C71=0),"",CONCATENATE(IF(LEFT(B71,2)*LEFT(C71,2)=0,"X",ROUND(LEFT(B71,2)/LEFT(C71,2),1))," - ",IF(MID(B71,6,2)*MID(C71,6,2)=0,"X",ROUND(MID(B71,6,2)/MID(C71,6,2),1))," - ",IF(MID(B71,11,2)*MID(C71,11,2)=0,"X",ROUND(MID(B71,11,2)/MID(C71,11,2),1))))</f>
        <v>3 - 2,5 - 3</v>
      </c>
      <c r="E71" s="1570" t="str">
        <f>CONCATENATE('IN (mmol|L)'!E$89," / ",'IN (mmol|L)'!E$90," / ",'IN (mmol|L)'!E$91," / ",'IN (mmol|L)'!E$92)</f>
        <v xml:space="preserve"> /  /  / </v>
      </c>
      <c r="F71" s="1571"/>
      <c r="G71" s="1571"/>
      <c r="H71" s="1571"/>
      <c r="I71" s="1571"/>
      <c r="J71" s="1571"/>
      <c r="K71" s="1571"/>
      <c r="L71" s="1571"/>
      <c r="M71" s="1571"/>
      <c r="N71" s="1571"/>
      <c r="O71" s="267"/>
      <c r="P71" s="267"/>
      <c r="Q71" s="2"/>
      <c r="R71" s="2"/>
      <c r="S71" s="6"/>
      <c r="T71" s="2"/>
      <c r="U71" s="2"/>
      <c r="V71" s="2"/>
    </row>
    <row r="72" spans="1:22" ht="39" customHeight="1">
      <c r="A72" s="1572">
        <f>D$1</f>
        <v>41554</v>
      </c>
      <c r="B72" s="497" t="str">
        <f>IF('IN (mmol|L)'!$F$87=0,"",'IN (mmol|L)'!$F$87)</f>
        <v>15 - 10 - 09/ 10+15</v>
      </c>
      <c r="C72" s="498" t="str">
        <f>IF('IN (mmol|L)'!$F$88=0,"",'IN (mmol|L)'!$F$88)</f>
        <v>05 - 04 - 03</v>
      </c>
      <c r="D72" s="1573" t="str">
        <f t="shared" ref="D72:D83" si="0">IF(OR(B72="",C72=0),"",CONCATENATE(IF(LEFT(B72,2)*LEFT(C72,2)=0,"X",ROUND(LEFT(B72,2)/LEFT(C72,2),1))," - ",IF(MID(B72,6,2)*MID(C72,6,2)=0,"X",ROUND(MID(B72,6,2)/MID(C72,6,2),1))," - ",IF(MID(B72,11,2)*MID(C72,11,2)=0,"X",ROUND(MID(B72,11,2)/MID(C72,11,2),1))))</f>
        <v>3 - 2,5 - 3</v>
      </c>
      <c r="E72" s="1574" t="str">
        <f>CONCATENATE('IN (mmol|L)'!F$89," / ",'IN (mmol|L)'!F$90," / ",'IN (mmol|L)'!F$91," / ",'IN (mmol|L)'!F$92)</f>
        <v xml:space="preserve"> /  /  / </v>
      </c>
      <c r="F72" s="1575"/>
      <c r="G72" s="1575"/>
      <c r="H72" s="1575"/>
      <c r="I72" s="1575"/>
      <c r="J72" s="1575"/>
      <c r="K72" s="1575"/>
      <c r="L72" s="1575"/>
      <c r="M72" s="1575"/>
      <c r="N72" s="1575"/>
      <c r="O72" s="267"/>
      <c r="P72" s="267"/>
      <c r="Q72" s="2"/>
      <c r="R72" s="2"/>
      <c r="S72" s="6"/>
      <c r="T72" s="2"/>
      <c r="U72" s="2"/>
      <c r="V72" s="2"/>
    </row>
    <row r="73" spans="1:22" ht="39" customHeight="1">
      <c r="A73" s="1572">
        <f>E$1</f>
        <v>41561</v>
      </c>
      <c r="B73" s="497" t="str">
        <f>IF('IN (mmol|L)'!$G$87=0,"",'IN (mmol|L)'!$G$87)</f>
        <v>15 - 10 - 09/ 10+15</v>
      </c>
      <c r="C73" s="498" t="str">
        <f>IF('IN (mmol|L)'!$G$88=0,"",'IN (mmol|L)'!$G$88)</f>
        <v>05 - 04 - 03</v>
      </c>
      <c r="D73" s="1573" t="str">
        <f t="shared" si="0"/>
        <v>3 - 2,5 - 3</v>
      </c>
      <c r="E73" s="1574" t="str">
        <f>CONCATENATE('IN (mmol|L)'!G$89," / ",'IN (mmol|L)'!G$90," / ",'IN (mmol|L)'!G$91," / ",'IN (mmol|L)'!G$92)</f>
        <v xml:space="preserve"> /  /  / </v>
      </c>
      <c r="F73" s="1575"/>
      <c r="G73" s="1575"/>
      <c r="H73" s="1575"/>
      <c r="I73" s="1575"/>
      <c r="J73" s="1575"/>
      <c r="K73" s="1575"/>
      <c r="L73" s="1575"/>
      <c r="M73" s="1575"/>
      <c r="N73" s="1575"/>
      <c r="O73" s="267"/>
      <c r="P73" s="267"/>
      <c r="Q73" s="2"/>
      <c r="R73" s="2"/>
      <c r="S73" s="6"/>
      <c r="T73" s="2"/>
      <c r="U73" s="2"/>
      <c r="V73" s="2"/>
    </row>
    <row r="74" spans="1:22" ht="39" customHeight="1">
      <c r="A74" s="1572">
        <f>F$1</f>
        <v>41568</v>
      </c>
      <c r="B74" s="497" t="str">
        <f>IF('IN (mmol|L)'!$H$87=0,"",'IN (mmol|L)'!$H$87)</f>
        <v>15 - 10 - 09/ 10+15</v>
      </c>
      <c r="C74" s="498" t="str">
        <f>IF('IN (mmol|L)'!$H$88=0,"",'IN (mmol|L)'!$H$88)</f>
        <v>05 - 04 - 03</v>
      </c>
      <c r="D74" s="1573" t="str">
        <f t="shared" si="0"/>
        <v>3 - 2,5 - 3</v>
      </c>
      <c r="E74" s="1574" t="str">
        <f>CONCATENATE('IN (mmol|L)'!H$89," / ",'IN (mmol|L)'!H$90," / ",'IN (mmol|L)'!H$91," / ",'IN (mmol|L)'!H$92)</f>
        <v xml:space="preserve"> /  /  / </v>
      </c>
      <c r="F74" s="1575"/>
      <c r="G74" s="1575"/>
      <c r="H74" s="1575"/>
      <c r="I74" s="1575"/>
      <c r="J74" s="1575"/>
      <c r="K74" s="1575"/>
      <c r="L74" s="1575"/>
      <c r="M74" s="1575"/>
      <c r="N74" s="1575"/>
      <c r="O74" s="267"/>
      <c r="P74" s="267"/>
      <c r="Q74" s="2"/>
      <c r="R74" s="2"/>
      <c r="S74" s="6"/>
      <c r="T74" s="2"/>
      <c r="U74" s="2"/>
      <c r="V74" s="2"/>
    </row>
    <row r="75" spans="1:22" ht="39" customHeight="1">
      <c r="A75" s="1572">
        <f>G$1</f>
        <v>41575</v>
      </c>
      <c r="B75" s="497" t="str">
        <f>IF('IN (mmol|L)'!$I$87=0,"",'IN (mmol|L)'!$I$87)</f>
        <v>15 - 10 - 09/ 10+15</v>
      </c>
      <c r="C75" s="498" t="str">
        <f>IF('IN (mmol|L)'!$I$88=0,"",'IN (mmol|L)'!$I$88)</f>
        <v>05 - 04 - 03</v>
      </c>
      <c r="D75" s="1573" t="str">
        <f t="shared" si="0"/>
        <v>3 - 2,5 - 3</v>
      </c>
      <c r="E75" s="1574" t="str">
        <f>CONCATENATE('IN (mmol|L)'!I$89," / ",'IN (mmol|L)'!I$90," / ",'IN (mmol|L)'!I$91," / ",'IN (mmol|L)'!I$92)</f>
        <v xml:space="preserve"> /  /  / </v>
      </c>
      <c r="F75" s="1575"/>
      <c r="G75" s="1575"/>
      <c r="H75" s="1575"/>
      <c r="I75" s="1575"/>
      <c r="J75" s="1575"/>
      <c r="K75" s="1575"/>
      <c r="L75" s="1575"/>
      <c r="M75" s="1575"/>
      <c r="N75" s="1575"/>
      <c r="O75" s="267"/>
      <c r="P75" s="267"/>
      <c r="Q75" s="2"/>
      <c r="R75" s="2"/>
      <c r="S75" s="6"/>
      <c r="T75" s="2"/>
      <c r="U75" s="2"/>
      <c r="V75" s="2"/>
    </row>
    <row r="76" spans="1:22" ht="39" customHeight="1">
      <c r="A76" s="1572">
        <f>H$1</f>
        <v>41582</v>
      </c>
      <c r="B76" s="1576" t="str">
        <f>IF('IN (mmol|L)'!$J$87=0,"",'IN (mmol|L)'!$J$87)</f>
        <v>15 - 10 - 09/ 10+15</v>
      </c>
      <c r="C76" s="1577" t="str">
        <f>IF('IN (mmol|L)'!$J$88=0,"",'IN (mmol|L)'!$J$88)</f>
        <v>05 - 04 - 03</v>
      </c>
      <c r="D76" s="1573" t="str">
        <f t="shared" si="0"/>
        <v>3 - 2,5 - 3</v>
      </c>
      <c r="E76" s="1574" t="str">
        <f>CONCATENATE('IN (mmol|L)'!J$89," / ",'IN (mmol|L)'!J$90," / ",'IN (mmol|L)'!J$91," / ",'IN (mmol|L)'!J$92)</f>
        <v xml:space="preserve"> /  /  / </v>
      </c>
      <c r="F76" s="1575"/>
      <c r="G76" s="1575"/>
      <c r="H76" s="1575"/>
      <c r="I76" s="1575"/>
      <c r="J76" s="1575"/>
      <c r="K76" s="1575"/>
      <c r="L76" s="1575"/>
      <c r="M76" s="1575"/>
      <c r="N76" s="1575"/>
      <c r="O76" s="267"/>
      <c r="P76" s="267"/>
      <c r="Q76" s="2"/>
      <c r="R76" s="2"/>
      <c r="S76" s="6"/>
      <c r="T76" s="2"/>
      <c r="U76" s="2"/>
      <c r="V76" s="2"/>
    </row>
    <row r="77" spans="1:22" ht="39" customHeight="1">
      <c r="A77" s="1572">
        <f>I$1</f>
        <v>41589</v>
      </c>
      <c r="B77" s="1576" t="str">
        <f>IF('IN (mmol|L)'!$K$87=0,"",'IN (mmol|L)'!$K$87)</f>
        <v>15 - 10 - 09/ 10+15</v>
      </c>
      <c r="C77" s="1577" t="str">
        <f>IF('IN (mmol|L)'!$K$88=0,"",'IN (mmol|L)'!$K$88)</f>
        <v>05 - 04 - 03</v>
      </c>
      <c r="D77" s="1573" t="str">
        <f t="shared" si="0"/>
        <v>3 - 2,5 - 3</v>
      </c>
      <c r="E77" s="1574" t="str">
        <f>CONCATENATE('IN (mmol|L)'!K$89," / ",'IN (mmol|L)'!K$90," / ",'IN (mmol|L)'!K$91," / ",'IN (mmol|L)'!K$92)</f>
        <v xml:space="preserve"> /  /  / </v>
      </c>
      <c r="F77" s="1575"/>
      <c r="G77" s="1575"/>
      <c r="H77" s="1575"/>
      <c r="I77" s="1575"/>
      <c r="J77" s="1575"/>
      <c r="K77" s="1575"/>
      <c r="L77" s="1575"/>
      <c r="M77" s="1575"/>
      <c r="N77" s="1575"/>
      <c r="O77" s="267"/>
      <c r="P77" s="267"/>
      <c r="Q77" s="2"/>
      <c r="R77" s="2"/>
      <c r="S77" s="6"/>
      <c r="T77" s="2"/>
      <c r="U77" s="2"/>
      <c r="V77" s="2"/>
    </row>
    <row r="78" spans="1:22" ht="39" customHeight="1">
      <c r="A78" s="1572">
        <f>J$1</f>
        <v>41596</v>
      </c>
      <c r="B78" s="1576" t="str">
        <f>IF('IN (mmol|L)'!$L$87=0,"",'IN (mmol|L)'!$L$87)</f>
        <v>15 - 10 - 09/ 10+15</v>
      </c>
      <c r="C78" s="1577" t="str">
        <f>IF('IN (mmol|L)'!$L$88=0,"",'IN (mmol|L)'!$L$88)</f>
        <v>05 - 04 - 03</v>
      </c>
      <c r="D78" s="1573" t="str">
        <f t="shared" si="0"/>
        <v>3 - 2,5 - 3</v>
      </c>
      <c r="E78" s="1574" t="str">
        <f>CONCATENATE('IN (mmol|L)'!L$89," / ",'IN (mmol|L)'!L$90," / ",'IN (mmol|L)'!L$91," / ",'IN (mmol|L)'!L$92)</f>
        <v xml:space="preserve"> /  /  / </v>
      </c>
      <c r="F78" s="1575"/>
      <c r="G78" s="1575"/>
      <c r="H78" s="1575"/>
      <c r="I78" s="1575"/>
      <c r="J78" s="1575"/>
      <c r="K78" s="1575"/>
      <c r="L78" s="1575"/>
      <c r="M78" s="1575"/>
      <c r="N78" s="1575"/>
      <c r="O78" s="267"/>
      <c r="P78" s="267"/>
      <c r="Q78" s="2"/>
      <c r="R78" s="2"/>
      <c r="S78" s="6"/>
      <c r="T78" s="2"/>
      <c r="U78" s="2"/>
      <c r="V78" s="2"/>
    </row>
    <row r="79" spans="1:22" ht="39" customHeight="1">
      <c r="A79" s="1572">
        <f>K$1</f>
        <v>41603</v>
      </c>
      <c r="B79" s="1576" t="str">
        <f>IF('IN (mmol|L)'!$M$87=0,"",'IN (mmol|L)'!$M$87)</f>
        <v>15 - 10 - 09/ 10+15</v>
      </c>
      <c r="C79" s="1577" t="str">
        <f>IF('IN (mmol|L)'!$M$88=0,"",'IN (mmol|L)'!$M$88)</f>
        <v>05 - 04 - 03</v>
      </c>
      <c r="D79" s="1573" t="str">
        <f t="shared" si="0"/>
        <v>3 - 2,5 - 3</v>
      </c>
      <c r="E79" s="1574" t="str">
        <f>CONCATENATE('IN (mmol|L)'!M$89," / ",'IN (mmol|L)'!M$90," / ",'IN (mmol|L)'!M$91," / ",'IN (mmol|L)'!M$92)</f>
        <v xml:space="preserve"> /  /  / </v>
      </c>
      <c r="F79" s="1575"/>
      <c r="G79" s="1575"/>
      <c r="H79" s="1575"/>
      <c r="I79" s="1575"/>
      <c r="J79" s="1575"/>
      <c r="K79" s="1575"/>
      <c r="L79" s="1575"/>
      <c r="M79" s="1575"/>
      <c r="N79" s="1575"/>
      <c r="O79" s="267"/>
      <c r="P79" s="267"/>
      <c r="Q79" s="2"/>
      <c r="R79" s="2"/>
      <c r="S79" s="6"/>
      <c r="T79" s="2"/>
      <c r="U79" s="2"/>
      <c r="V79" s="2"/>
    </row>
    <row r="80" spans="1:22" ht="39" customHeight="1">
      <c r="A80" s="1578">
        <f>L$1</f>
        <v>41610</v>
      </c>
      <c r="B80" s="1576" t="str">
        <f>IF('IN (mmol|L)'!$N$87=0,"",'IN (mmol|L)'!$N$87)</f>
        <v>15 - 10 - 09/ 10+15</v>
      </c>
      <c r="C80" s="1577" t="str">
        <f>IF('IN (mmol|L)'!$N$88=0,"",'IN (mmol|L)'!$N$88)</f>
        <v>05 - 04 - 03</v>
      </c>
      <c r="D80" s="1573" t="str">
        <f t="shared" si="0"/>
        <v>3 - 2,5 - 3</v>
      </c>
      <c r="E80" s="1574" t="str">
        <f>CONCATENATE('IN (mmol|L)'!N$89," / ",'IN (mmol|L)'!N$90," / ",'IN (mmol|L)'!N$91," / ",'IN (mmol|L)'!N$92)</f>
        <v xml:space="preserve"> /  /  / </v>
      </c>
      <c r="F80" s="1575"/>
      <c r="G80" s="1575"/>
      <c r="H80" s="1575"/>
      <c r="I80" s="1575"/>
      <c r="J80" s="1575"/>
      <c r="K80" s="1575"/>
      <c r="L80" s="1575"/>
      <c r="M80" s="1575"/>
      <c r="N80" s="1575"/>
      <c r="O80" s="267"/>
      <c r="P80" s="267"/>
      <c r="Q80" s="2"/>
      <c r="R80" s="2"/>
      <c r="S80" s="6"/>
      <c r="T80" s="2"/>
      <c r="U80" s="2"/>
      <c r="V80" s="2"/>
    </row>
    <row r="81" spans="1:22" ht="39" customHeight="1">
      <c r="A81" s="1578">
        <f>M$1</f>
        <v>41617</v>
      </c>
      <c r="B81" s="1576" t="str">
        <f>IF('IN (mmol|L)'!$O$87=0,"",'IN (mmol|L)'!$O$87)</f>
        <v>15 - 10 - 09/ 10+15</v>
      </c>
      <c r="C81" s="1577" t="str">
        <f>IF('IN (mmol|L)'!$O$88=0,"",'IN (mmol|L)'!$O$88)</f>
        <v>05 - 04 - 03</v>
      </c>
      <c r="D81" s="1573" t="str">
        <f t="shared" si="0"/>
        <v>3 - 2,5 - 3</v>
      </c>
      <c r="E81" s="1574" t="str">
        <f>CONCATENATE('IN (mmol|L)'!O$89," / ",'IN (mmol|L)'!O$90," / ",'IN (mmol|L)'!O$91," / ",'IN (mmol|L)'!O$92)</f>
        <v xml:space="preserve"> /  /  / </v>
      </c>
      <c r="F81" s="1575"/>
      <c r="G81" s="1575"/>
      <c r="H81" s="1575"/>
      <c r="I81" s="1575"/>
      <c r="J81" s="1575"/>
      <c r="K81" s="1575"/>
      <c r="L81" s="1575"/>
      <c r="M81" s="1575"/>
      <c r="N81" s="1575"/>
      <c r="O81" s="34"/>
      <c r="P81" s="34"/>
      <c r="Q81" s="2"/>
      <c r="R81" s="2"/>
      <c r="S81" s="6"/>
      <c r="T81" s="2"/>
      <c r="U81" s="2"/>
      <c r="V81" s="2"/>
    </row>
    <row r="82" spans="1:22" ht="39" customHeight="1">
      <c r="A82" s="1578">
        <f>N$1</f>
        <v>41624</v>
      </c>
      <c r="B82" s="1576" t="str">
        <f>IF('IN (mmol|L)'!$P$87=0,"",'IN (mmol|L)'!$P$87)</f>
        <v>15 - 10 - 09/ 10+15</v>
      </c>
      <c r="C82" s="1577" t="str">
        <f>IF('IN (mmol|L)'!$P$88=0,"",'IN (mmol|L)'!$P$88)</f>
        <v>05 - 04 - 03</v>
      </c>
      <c r="D82" s="1573" t="str">
        <f t="shared" si="0"/>
        <v>3 - 2,5 - 3</v>
      </c>
      <c r="E82" s="1574" t="str">
        <f>CONCATENATE('IN (mmol|L)'!P$89," / ",'IN (mmol|L)'!P$90," / ",'IN (mmol|L)'!P$91," / ",'IN (mmol|L)'!P$92)</f>
        <v xml:space="preserve"> /  /  / </v>
      </c>
      <c r="F82" s="1575"/>
      <c r="G82" s="1575"/>
      <c r="H82" s="1575"/>
      <c r="I82" s="1575"/>
      <c r="J82" s="1575"/>
      <c r="K82" s="1575"/>
      <c r="L82" s="1575"/>
      <c r="M82" s="1575"/>
      <c r="N82" s="1575"/>
      <c r="O82" s="2"/>
      <c r="P82" s="2"/>
      <c r="Q82" s="2"/>
      <c r="R82" s="2"/>
      <c r="S82" s="6"/>
      <c r="T82" s="2"/>
      <c r="U82" s="2"/>
      <c r="V82" s="2"/>
    </row>
    <row r="83" spans="1:22" ht="39" customHeight="1">
      <c r="A83" s="1578">
        <f>O$1</f>
        <v>41631</v>
      </c>
      <c r="B83" s="1579" t="str">
        <f>IF('IN (mmol|L)'!$Q$87=0,"",'IN (mmol|L)'!$Q$87)</f>
        <v>15 - 10 - 09/ 10+15</v>
      </c>
      <c r="C83" s="1580" t="str">
        <f>IF('IN (mmol|L)'!$Q$88=0,"",'IN (mmol|L)'!$Q$88)</f>
        <v>05 - 04 - 03</v>
      </c>
      <c r="D83" s="1581" t="str">
        <f t="shared" si="0"/>
        <v>3 - 2,5 - 3</v>
      </c>
      <c r="E83" s="1582" t="str">
        <f>CONCATENATE('IN (mmol|L)'!Q$89," / ",'IN (mmol|L)'!Q$90," / ",'IN (mmol|L)'!Q$91," / ",'IN (mmol|L)'!Q$92)</f>
        <v xml:space="preserve"> /  /  / </v>
      </c>
      <c r="F83" s="1583"/>
      <c r="G83" s="1583"/>
      <c r="H83" s="1583"/>
      <c r="I83" s="1583"/>
      <c r="J83" s="1583"/>
      <c r="K83" s="1583"/>
      <c r="L83" s="1583"/>
      <c r="M83" s="1583"/>
      <c r="N83" s="1583"/>
      <c r="O83" s="2"/>
      <c r="P83" s="2"/>
      <c r="Q83" s="2"/>
      <c r="R83" s="2"/>
      <c r="S83" s="6"/>
      <c r="T83" s="2"/>
      <c r="U83" s="2"/>
      <c r="V83" s="2"/>
    </row>
    <row r="84" spans="1:2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6"/>
      <c r="T84" s="2"/>
      <c r="U84" s="2"/>
      <c r="V84" s="2"/>
    </row>
    <row r="85" spans="1:2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6"/>
      <c r="T85" s="2"/>
      <c r="U85" s="2"/>
      <c r="V85" s="2"/>
    </row>
    <row r="86" spans="1:2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6"/>
      <c r="T86" s="2"/>
      <c r="U86" s="2"/>
      <c r="V86" s="2"/>
    </row>
    <row r="87" spans="1:2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6"/>
      <c r="T87" s="2"/>
      <c r="U87" s="2"/>
      <c r="V87" s="2"/>
    </row>
    <row r="88" spans="1:2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6"/>
      <c r="T88" s="2"/>
      <c r="U88" s="2"/>
      <c r="V88" s="2"/>
    </row>
    <row r="89" spans="1:2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6"/>
      <c r="T89" s="2"/>
      <c r="U89" s="2"/>
      <c r="V89" s="2"/>
    </row>
    <row r="90" spans="1:2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6"/>
      <c r="T90" s="2"/>
      <c r="U90" s="2"/>
      <c r="V90" s="2"/>
    </row>
    <row r="91" spans="1:2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6"/>
      <c r="T91" s="2"/>
      <c r="U91" s="2"/>
      <c r="V91" s="2"/>
    </row>
    <row r="92" spans="1:2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6"/>
      <c r="T92" s="2"/>
      <c r="U92" s="2"/>
      <c r="V92" s="2"/>
    </row>
    <row r="93" spans="1:2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6"/>
      <c r="T93" s="2"/>
      <c r="U93" s="2"/>
      <c r="V93" s="2"/>
    </row>
    <row r="94" spans="1:2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6"/>
      <c r="T94" s="2"/>
      <c r="U94" s="2"/>
      <c r="V94" s="2"/>
    </row>
    <row r="95" spans="1:2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6"/>
      <c r="T95" s="2"/>
      <c r="U95" s="2"/>
      <c r="V95" s="2"/>
    </row>
    <row r="96" spans="1:2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6"/>
      <c r="T96" s="2"/>
      <c r="U96" s="2"/>
      <c r="V96" s="2"/>
    </row>
    <row r="97" spans="1:2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6"/>
      <c r="T97" s="2"/>
      <c r="U97" s="2"/>
      <c r="V97" s="2"/>
    </row>
    <row r="98" spans="1:2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6"/>
      <c r="T98" s="2"/>
      <c r="U98" s="2"/>
      <c r="V98" s="2"/>
    </row>
    <row r="99" spans="1:2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6"/>
      <c r="T99" s="2"/>
      <c r="U99" s="2"/>
      <c r="V99" s="2"/>
    </row>
    <row r="100" spans="1:2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6"/>
      <c r="T100" s="2"/>
      <c r="U100" s="2"/>
      <c r="V100" s="2"/>
    </row>
    <row r="101" spans="1:2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6"/>
      <c r="T101" s="2"/>
      <c r="U101" s="2"/>
      <c r="V101" s="2"/>
    </row>
    <row r="102" spans="1:22">
      <c r="A102" s="2"/>
      <c r="B102" s="2"/>
      <c r="C102" s="2"/>
      <c r="D102" s="2"/>
      <c r="E102" s="2"/>
      <c r="F102" s="2"/>
      <c r="G102" s="2"/>
      <c r="H102" s="2"/>
      <c r="I102" s="2"/>
      <c r="J102" s="2"/>
      <c r="Q102" s="1"/>
      <c r="S102"/>
    </row>
    <row r="103" spans="1:22">
      <c r="A103" s="2"/>
      <c r="B103" s="2"/>
      <c r="C103" s="2"/>
      <c r="D103" s="2"/>
      <c r="E103" s="2"/>
      <c r="F103" s="2"/>
      <c r="G103" s="2"/>
      <c r="H103" s="2"/>
      <c r="I103" s="2"/>
      <c r="J103" s="2"/>
      <c r="Q103" s="1"/>
      <c r="S103"/>
    </row>
    <row r="104" spans="1:22">
      <c r="A104" s="2"/>
      <c r="B104" s="2"/>
      <c r="C104" s="2"/>
      <c r="D104" s="2"/>
      <c r="E104" s="2"/>
      <c r="F104" s="2"/>
      <c r="G104" s="2"/>
      <c r="H104" s="2"/>
      <c r="I104" s="2"/>
      <c r="J104" s="2"/>
      <c r="Q104" s="1"/>
      <c r="S104"/>
    </row>
    <row r="105" spans="1:22">
      <c r="A105" s="2"/>
      <c r="B105" s="2"/>
      <c r="C105" s="2"/>
      <c r="D105" s="2"/>
      <c r="E105" s="2"/>
      <c r="F105" s="2"/>
      <c r="G105" s="2"/>
      <c r="H105" s="2"/>
      <c r="I105" s="2"/>
      <c r="J105" s="2"/>
      <c r="Q105" s="1"/>
      <c r="S105"/>
    </row>
    <row r="106" spans="1:22">
      <c r="A106" s="2"/>
      <c r="B106" s="2"/>
      <c r="C106" s="2"/>
      <c r="D106" s="2"/>
      <c r="E106" s="2"/>
      <c r="F106" s="2"/>
      <c r="G106" s="2"/>
      <c r="H106" s="2"/>
      <c r="I106" s="2"/>
      <c r="J106" s="2"/>
      <c r="Q106" s="1"/>
      <c r="S106"/>
    </row>
    <row r="107" spans="1:22">
      <c r="A107" s="2"/>
      <c r="B107" s="2"/>
      <c r="C107" s="2"/>
      <c r="D107" s="2"/>
      <c r="E107" s="2"/>
      <c r="F107" s="2"/>
      <c r="G107" s="2"/>
      <c r="H107" s="2"/>
      <c r="I107" s="2"/>
      <c r="J107" s="2"/>
      <c r="Q107" s="1"/>
      <c r="S107"/>
    </row>
    <row r="108" spans="1:22">
      <c r="Q108" s="1"/>
      <c r="S108"/>
    </row>
    <row r="109" spans="1:22">
      <c r="Q109" s="1"/>
      <c r="S109"/>
    </row>
    <row r="110" spans="1:22">
      <c r="Q110" s="1"/>
      <c r="S110"/>
    </row>
    <row r="111" spans="1:22">
      <c r="Q111" s="1"/>
      <c r="S111"/>
    </row>
    <row r="112" spans="1:22">
      <c r="Q112" s="1"/>
      <c r="S112"/>
    </row>
    <row r="113" spans="17:19">
      <c r="Q113" s="1"/>
      <c r="S113"/>
    </row>
    <row r="114" spans="17:19">
      <c r="Q114" s="1"/>
      <c r="S114"/>
    </row>
    <row r="115" spans="17:19">
      <c r="Q115" s="1"/>
      <c r="S115"/>
    </row>
    <row r="116" spans="17:19">
      <c r="Q116" s="1"/>
      <c r="S116"/>
    </row>
    <row r="117" spans="17:19">
      <c r="Q117" s="1"/>
      <c r="S117"/>
    </row>
    <row r="118" spans="17:19">
      <c r="Q118" s="1"/>
      <c r="S118"/>
    </row>
    <row r="119" spans="17:19">
      <c r="Q119" s="1"/>
      <c r="S119"/>
    </row>
    <row r="120" spans="17:19">
      <c r="Q120" s="1"/>
      <c r="S120"/>
    </row>
    <row r="121" spans="17:19">
      <c r="Q121" s="1"/>
      <c r="S121"/>
    </row>
    <row r="122" spans="17:19">
      <c r="Q122" s="1"/>
      <c r="S122"/>
    </row>
    <row r="123" spans="17:19">
      <c r="Q123" s="1"/>
      <c r="S123"/>
    </row>
    <row r="124" spans="17:19">
      <c r="Q124" s="1"/>
      <c r="S124"/>
    </row>
    <row r="125" spans="17:19">
      <c r="Q125" s="1"/>
      <c r="S125"/>
    </row>
    <row r="126" spans="17:19">
      <c r="Q126" s="1"/>
      <c r="S126"/>
    </row>
    <row r="127" spans="17:19">
      <c r="Q127" s="1"/>
      <c r="S127"/>
    </row>
    <row r="128" spans="17:19">
      <c r="Q128" s="1"/>
      <c r="S128"/>
    </row>
    <row r="129" spans="17:19">
      <c r="Q129" s="1"/>
      <c r="S129"/>
    </row>
    <row r="130" spans="17:19">
      <c r="Q130" s="1"/>
      <c r="S130"/>
    </row>
    <row r="131" spans="17:19">
      <c r="Q131" s="1"/>
      <c r="S131"/>
    </row>
    <row r="132" spans="17:19">
      <c r="Q132" s="1"/>
      <c r="S132"/>
    </row>
    <row r="133" spans="17:19">
      <c r="Q133" s="1"/>
      <c r="S133"/>
    </row>
    <row r="134" spans="17:19">
      <c r="Q134" s="1"/>
      <c r="S134"/>
    </row>
    <row r="135" spans="17:19">
      <c r="Q135" s="1"/>
      <c r="S135"/>
    </row>
    <row r="136" spans="17:19">
      <c r="Q136" s="1"/>
      <c r="S136"/>
    </row>
    <row r="137" spans="17:19">
      <c r="Q137" s="1"/>
      <c r="S137"/>
    </row>
    <row r="138" spans="17:19">
      <c r="Q138" s="1"/>
      <c r="S138"/>
    </row>
    <row r="139" spans="17:19">
      <c r="Q139" s="1"/>
      <c r="S139"/>
    </row>
    <row r="140" spans="17:19">
      <c r="Q140" s="1"/>
      <c r="S140"/>
    </row>
    <row r="141" spans="17:19">
      <c r="Q141" s="1"/>
      <c r="S141"/>
    </row>
    <row r="142" spans="17:19">
      <c r="Q142" s="1"/>
      <c r="S142"/>
    </row>
    <row r="143" spans="17:19">
      <c r="Q143" s="1"/>
      <c r="S143"/>
    </row>
    <row r="144" spans="17:19">
      <c r="Q144" s="1"/>
      <c r="S144"/>
    </row>
    <row r="145" spans="17:19">
      <c r="Q145" s="1"/>
      <c r="S145"/>
    </row>
    <row r="146" spans="17:19">
      <c r="Q146" s="1"/>
      <c r="S146"/>
    </row>
    <row r="147" spans="17:19">
      <c r="Q147" s="1"/>
      <c r="S147"/>
    </row>
    <row r="148" spans="17:19">
      <c r="Q148" s="1"/>
      <c r="S148"/>
    </row>
    <row r="149" spans="17:19">
      <c r="Q149" s="1"/>
      <c r="S149"/>
    </row>
    <row r="150" spans="17:19">
      <c r="Q150" s="1"/>
      <c r="S150"/>
    </row>
    <row r="151" spans="17:19">
      <c r="Q151" s="1"/>
      <c r="S151"/>
    </row>
    <row r="152" spans="17:19">
      <c r="Q152" s="1"/>
      <c r="S152"/>
    </row>
    <row r="153" spans="17:19">
      <c r="Q153" s="1"/>
      <c r="S153"/>
    </row>
    <row r="154" spans="17:19">
      <c r="Q154" s="1"/>
      <c r="S154"/>
    </row>
    <row r="155" spans="17:19">
      <c r="R155" s="1"/>
      <c r="S155"/>
    </row>
    <row r="156" spans="17:19">
      <c r="R156" s="1"/>
      <c r="S156"/>
    </row>
    <row r="157" spans="17:19">
      <c r="R157" s="1"/>
      <c r="S157"/>
    </row>
    <row r="158" spans="17:19">
      <c r="R158" s="1"/>
      <c r="S158"/>
    </row>
    <row r="159" spans="17:19">
      <c r="R159" s="1"/>
      <c r="S159"/>
    </row>
    <row r="160" spans="17:19">
      <c r="R160" s="1"/>
      <c r="S160"/>
    </row>
    <row r="161" spans="18:19">
      <c r="R161" s="1"/>
      <c r="S161"/>
    </row>
    <row r="162" spans="18:19">
      <c r="R162" s="1"/>
      <c r="S162"/>
    </row>
    <row r="163" spans="18:19">
      <c r="R163" s="1"/>
      <c r="S163"/>
    </row>
    <row r="164" spans="18:19">
      <c r="R164" s="1"/>
      <c r="S164"/>
    </row>
    <row r="165" spans="18:19">
      <c r="R165" s="1"/>
      <c r="S165"/>
    </row>
    <row r="166" spans="18:19">
      <c r="R166" s="1"/>
      <c r="S166"/>
    </row>
    <row r="167" spans="18:19">
      <c r="R167" s="1"/>
      <c r="S167"/>
    </row>
    <row r="168" spans="18:19">
      <c r="R168" s="1"/>
      <c r="S168"/>
    </row>
    <row r="169" spans="18:19">
      <c r="R169" s="1"/>
      <c r="S169"/>
    </row>
    <row r="170" spans="18:19">
      <c r="R170" s="1"/>
      <c r="S170"/>
    </row>
    <row r="171" spans="18:19">
      <c r="R171" s="1"/>
      <c r="S171"/>
    </row>
    <row r="172" spans="18:19">
      <c r="R172" s="1"/>
      <c r="S172"/>
    </row>
    <row r="173" spans="18:19">
      <c r="R173" s="1"/>
      <c r="S173"/>
    </row>
    <row r="174" spans="18:19">
      <c r="R174" s="1"/>
      <c r="S174"/>
    </row>
    <row r="175" spans="18:19">
      <c r="R175" s="1"/>
      <c r="S175"/>
    </row>
    <row r="176" spans="18:19">
      <c r="R176" s="1"/>
      <c r="S176"/>
    </row>
    <row r="177" spans="18:19">
      <c r="R177" s="1"/>
      <c r="S177"/>
    </row>
    <row r="178" spans="18:19">
      <c r="R178" s="1"/>
      <c r="S178"/>
    </row>
    <row r="179" spans="18:19">
      <c r="R179" s="1"/>
      <c r="S179"/>
    </row>
    <row r="180" spans="18:19">
      <c r="R180" s="1"/>
      <c r="S180"/>
    </row>
    <row r="181" spans="18:19">
      <c r="R181" s="1"/>
      <c r="S181"/>
    </row>
    <row r="182" spans="18:19">
      <c r="R182" s="1"/>
      <c r="S182"/>
    </row>
    <row r="183" spans="18:19">
      <c r="R183" s="1"/>
      <c r="S183"/>
    </row>
    <row r="184" spans="18:19">
      <c r="R184" s="1"/>
      <c r="S184"/>
    </row>
    <row r="185" spans="18:19">
      <c r="R185" s="1"/>
      <c r="S185"/>
    </row>
    <row r="186" spans="18:19">
      <c r="R186" s="1"/>
      <c r="S186"/>
    </row>
    <row r="187" spans="18:19">
      <c r="R187" s="1"/>
      <c r="S187"/>
    </row>
    <row r="188" spans="18:19">
      <c r="R188" s="1"/>
      <c r="S188"/>
    </row>
    <row r="189" spans="18:19">
      <c r="R189" s="1"/>
      <c r="S189"/>
    </row>
    <row r="190" spans="18:19">
      <c r="R190" s="1"/>
      <c r="S190"/>
    </row>
    <row r="191" spans="18:19">
      <c r="R191" s="1"/>
      <c r="S191"/>
    </row>
    <row r="192" spans="18:19">
      <c r="R192" s="1"/>
      <c r="S192"/>
    </row>
    <row r="193" spans="18:19">
      <c r="R193" s="1"/>
      <c r="S193"/>
    </row>
    <row r="194" spans="18:19">
      <c r="R194" s="1"/>
      <c r="S194"/>
    </row>
    <row r="195" spans="18:19">
      <c r="R195" s="1"/>
      <c r="S195"/>
    </row>
    <row r="196" spans="18:19">
      <c r="R196" s="1"/>
      <c r="S196"/>
    </row>
    <row r="197" spans="18:19">
      <c r="R197" s="1"/>
      <c r="S197"/>
    </row>
    <row r="198" spans="18:19">
      <c r="R198" s="1"/>
      <c r="S198"/>
    </row>
    <row r="199" spans="18:19">
      <c r="R199" s="1"/>
      <c r="S199"/>
    </row>
    <row r="200" spans="18:19">
      <c r="R200" s="1"/>
      <c r="S200"/>
    </row>
    <row r="201" spans="18:19">
      <c r="R201" s="1"/>
      <c r="S201"/>
    </row>
    <row r="202" spans="18:19">
      <c r="R202" s="1"/>
      <c r="S202"/>
    </row>
    <row r="203" spans="18:19">
      <c r="R203" s="1"/>
      <c r="S203"/>
    </row>
    <row r="204" spans="18:19">
      <c r="R204" s="1"/>
      <c r="S204"/>
    </row>
    <row r="205" spans="18:19">
      <c r="R205" s="1"/>
      <c r="S205"/>
    </row>
    <row r="206" spans="18:19">
      <c r="R206" s="1"/>
      <c r="S206"/>
    </row>
    <row r="207" spans="18:19">
      <c r="R207" s="1"/>
      <c r="S207"/>
    </row>
    <row r="208" spans="18:19">
      <c r="R208" s="1"/>
      <c r="S208"/>
    </row>
    <row r="209" spans="18:19">
      <c r="R209" s="1"/>
      <c r="S209"/>
    </row>
    <row r="210" spans="18:19">
      <c r="R210" s="1"/>
      <c r="S210"/>
    </row>
    <row r="211" spans="18:19">
      <c r="R211" s="1"/>
      <c r="S211"/>
    </row>
    <row r="212" spans="18:19">
      <c r="R212" s="1"/>
      <c r="S212"/>
    </row>
    <row r="213" spans="18:19">
      <c r="R213" s="1"/>
      <c r="S213"/>
    </row>
    <row r="214" spans="18:19">
      <c r="R214" s="1"/>
      <c r="S214"/>
    </row>
    <row r="215" spans="18:19">
      <c r="R215" s="1"/>
      <c r="S215"/>
    </row>
    <row r="216" spans="18:19">
      <c r="R216" s="1"/>
      <c r="S216"/>
    </row>
    <row r="217" spans="18:19">
      <c r="R217" s="1"/>
      <c r="S217"/>
    </row>
    <row r="218" spans="18:19">
      <c r="R218" s="1"/>
      <c r="S218"/>
    </row>
  </sheetData>
  <mergeCells count="26">
    <mergeCell ref="E71:N71"/>
    <mergeCell ref="E80:N80"/>
    <mergeCell ref="E81:N81"/>
    <mergeCell ref="E82:N82"/>
    <mergeCell ref="E83:N83"/>
    <mergeCell ref="E76:N76"/>
    <mergeCell ref="E77:N77"/>
    <mergeCell ref="E78:N78"/>
    <mergeCell ref="E79:N79"/>
    <mergeCell ref="E72:N72"/>
    <mergeCell ref="E73:N73"/>
    <mergeCell ref="E74:N74"/>
    <mergeCell ref="E75:N75"/>
    <mergeCell ref="A37:B38"/>
    <mergeCell ref="A39:B39"/>
    <mergeCell ref="A40:B40"/>
    <mergeCell ref="E36:E37"/>
    <mergeCell ref="M36:M37"/>
    <mergeCell ref="I38:I39"/>
    <mergeCell ref="I40:I41"/>
    <mergeCell ref="A1:B1"/>
    <mergeCell ref="R23:S23"/>
    <mergeCell ref="R18:S18"/>
    <mergeCell ref="R19:S19"/>
    <mergeCell ref="R20:S20"/>
    <mergeCell ref="R22:S22"/>
  </mergeCells>
  <pageMargins left="0.13" right="0.13" top="0.19" bottom="0.24" header="0.14000000000000001" footer="0.13"/>
  <pageSetup paperSize="9" scale="53" orientation="portrait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111" enableFormatConditionsCalculation="0">
    <tabColor rgb="FFFFFF99"/>
    <pageSetUpPr fitToPage="1"/>
  </sheetPr>
  <dimension ref="A1:U155"/>
  <sheetViews>
    <sheetView showGridLines="0" showRowColHeaders="0" workbookViewId="0">
      <selection sqref="A1:B1"/>
    </sheetView>
  </sheetViews>
  <sheetFormatPr baseColWidth="10" defaultRowHeight="13" x14ac:dyDescent="0"/>
  <cols>
    <col min="1" max="1" width="17.1640625" customWidth="1"/>
    <col min="2" max="2" width="15" customWidth="1"/>
    <col min="3" max="15" width="15.33203125" customWidth="1"/>
    <col min="16" max="16" width="4.83203125" customWidth="1"/>
    <col min="17" max="17" width="2.83203125" customWidth="1"/>
    <col min="18" max="18" width="2.5" customWidth="1"/>
    <col min="19" max="19" width="6" customWidth="1"/>
    <col min="20" max="20" width="5.6640625" style="1" customWidth="1"/>
    <col min="21" max="21" width="2.5" customWidth="1"/>
  </cols>
  <sheetData>
    <row r="1" spans="1:20" ht="28" customHeight="1">
      <c r="A1" s="1485" t="str">
        <f>'IN (mmol|L)'!R111</f>
        <v>Zwischendurch</v>
      </c>
      <c r="B1" s="1486"/>
      <c r="C1" s="585">
        <f>'IN (mmol|L)'!E106</f>
        <v>41274</v>
      </c>
      <c r="D1" s="585">
        <f>'IN (mmol|L)'!F106</f>
        <v>41277.5</v>
      </c>
      <c r="E1" s="585">
        <f>'IN (mmol|L)'!G106</f>
        <v>41281</v>
      </c>
      <c r="F1" s="585">
        <f>'IN (mmol|L)'!H106</f>
        <v>41284.5</v>
      </c>
      <c r="G1" s="585">
        <f>'IN (mmol|L)'!I106</f>
        <v>41288</v>
      </c>
      <c r="H1" s="585">
        <f>'IN (mmol|L)'!J106</f>
        <v>41291.5</v>
      </c>
      <c r="I1" s="585">
        <f>'IN (mmol|L)'!K106</f>
        <v>41295</v>
      </c>
      <c r="J1" s="585">
        <f>'IN (mmol|L)'!L106</f>
        <v>41298.5</v>
      </c>
      <c r="K1" s="585">
        <f>'IN (mmol|L)'!M106</f>
        <v>41302</v>
      </c>
      <c r="L1" s="586">
        <f>'IN (mmol|L)'!N106</f>
        <v>41305.5</v>
      </c>
      <c r="M1" s="587">
        <f>'IN (mmol|L)'!O106</f>
        <v>41312.5</v>
      </c>
      <c r="N1" s="587">
        <f>'IN (mmol|L)'!P106</f>
        <v>41319.5</v>
      </c>
      <c r="O1" s="587">
        <f>'IN (mmol|L)'!Q106</f>
        <v>41326.5</v>
      </c>
      <c r="P1" s="106"/>
      <c r="Q1" s="354"/>
      <c r="T1"/>
    </row>
    <row r="2" spans="1:20" ht="4.7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463"/>
      <c r="N2" s="463"/>
      <c r="O2" s="463"/>
      <c r="P2" s="34"/>
      <c r="Q2" s="361"/>
      <c r="T2"/>
    </row>
    <row r="3" spans="1:20">
      <c r="A3" s="179"/>
      <c r="B3" s="180"/>
      <c r="C3" s="36"/>
      <c r="D3" s="37"/>
      <c r="E3" s="38"/>
      <c r="F3" s="38"/>
      <c r="G3" s="39"/>
      <c r="H3" s="39"/>
      <c r="I3" s="40"/>
      <c r="J3" s="41"/>
      <c r="K3" s="41"/>
      <c r="L3" s="42"/>
      <c r="M3" s="464"/>
      <c r="N3" s="465"/>
      <c r="O3" s="466"/>
      <c r="P3" s="46"/>
      <c r="Q3" s="362"/>
      <c r="T3"/>
    </row>
    <row r="4" spans="1:20">
      <c r="A4" s="34"/>
      <c r="B4" s="47"/>
      <c r="C4" s="48"/>
      <c r="D4" s="49"/>
      <c r="E4" s="50"/>
      <c r="F4" s="50"/>
      <c r="G4" s="48"/>
      <c r="H4" s="48"/>
      <c r="I4" s="48"/>
      <c r="J4" s="48"/>
      <c r="K4" s="48"/>
      <c r="L4" s="48"/>
      <c r="M4" s="467"/>
      <c r="N4" s="468"/>
      <c r="O4" s="468"/>
      <c r="P4" s="51"/>
      <c r="Q4" s="363"/>
      <c r="T4"/>
    </row>
    <row r="5" spans="1:20">
      <c r="A5" s="34"/>
      <c r="B5" s="47"/>
      <c r="C5" s="48"/>
      <c r="D5" s="49"/>
      <c r="E5" s="48"/>
      <c r="F5" s="48"/>
      <c r="G5" s="50"/>
      <c r="H5" s="50"/>
      <c r="I5" s="48"/>
      <c r="J5" s="48"/>
      <c r="K5" s="48"/>
      <c r="L5" s="48"/>
      <c r="M5" s="467"/>
      <c r="N5" s="468"/>
      <c r="O5" s="468"/>
      <c r="P5" s="51"/>
      <c r="Q5" s="363"/>
      <c r="T5"/>
    </row>
    <row r="6" spans="1:20">
      <c r="A6" s="34"/>
      <c r="B6" s="47"/>
      <c r="C6" s="48"/>
      <c r="D6" s="49"/>
      <c r="E6" s="48"/>
      <c r="F6" s="48"/>
      <c r="G6" s="48"/>
      <c r="H6" s="48"/>
      <c r="I6" s="50"/>
      <c r="J6" s="48"/>
      <c r="K6" s="48"/>
      <c r="L6" s="48"/>
      <c r="M6" s="467"/>
      <c r="N6" s="468"/>
      <c r="O6" s="468"/>
      <c r="P6" s="51"/>
      <c r="Q6" s="363"/>
      <c r="T6"/>
    </row>
    <row r="7" spans="1:20">
      <c r="A7" s="34"/>
      <c r="B7" s="47"/>
      <c r="C7" s="50"/>
      <c r="D7" s="49"/>
      <c r="E7" s="50"/>
      <c r="F7" s="50"/>
      <c r="G7" s="48"/>
      <c r="H7" s="48"/>
      <c r="I7" s="48"/>
      <c r="J7" s="48"/>
      <c r="K7" s="48"/>
      <c r="L7" s="50"/>
      <c r="M7" s="468"/>
      <c r="N7" s="468"/>
      <c r="O7" s="468"/>
      <c r="P7" s="51"/>
      <c r="Q7" s="363"/>
      <c r="T7"/>
    </row>
    <row r="8" spans="1:20">
      <c r="A8" s="34"/>
      <c r="B8" s="47"/>
      <c r="C8" s="50"/>
      <c r="D8" s="49"/>
      <c r="E8" s="48"/>
      <c r="F8" s="48"/>
      <c r="G8" s="50"/>
      <c r="H8" s="50"/>
      <c r="I8" s="48"/>
      <c r="J8" s="48"/>
      <c r="K8" s="48"/>
      <c r="L8" s="48"/>
      <c r="M8" s="467"/>
      <c r="N8" s="468"/>
      <c r="O8" s="468"/>
      <c r="P8" s="51"/>
      <c r="Q8" s="363"/>
      <c r="T8"/>
    </row>
    <row r="9" spans="1:20">
      <c r="A9" s="34"/>
      <c r="B9" s="47"/>
      <c r="C9" s="50"/>
      <c r="D9" s="49"/>
      <c r="E9" s="48"/>
      <c r="F9" s="48"/>
      <c r="G9" s="48"/>
      <c r="H9" s="48"/>
      <c r="I9" s="50"/>
      <c r="J9" s="48"/>
      <c r="K9" s="48"/>
      <c r="L9" s="48"/>
      <c r="M9" s="467"/>
      <c r="N9" s="468"/>
      <c r="O9" s="468"/>
      <c r="P9" s="51"/>
      <c r="Q9" s="363"/>
      <c r="T9"/>
    </row>
    <row r="10" spans="1:20">
      <c r="A10" s="34"/>
      <c r="B10" s="47"/>
      <c r="C10" s="50"/>
      <c r="D10" s="49"/>
      <c r="E10" s="48"/>
      <c r="F10" s="48"/>
      <c r="G10" s="50"/>
      <c r="H10" s="50"/>
      <c r="I10" s="48"/>
      <c r="J10" s="48"/>
      <c r="K10" s="48"/>
      <c r="L10" s="48"/>
      <c r="M10" s="468"/>
      <c r="N10" s="468"/>
      <c r="O10" s="468"/>
      <c r="P10" s="51"/>
      <c r="Q10" s="363"/>
      <c r="T10"/>
    </row>
    <row r="11" spans="1:20">
      <c r="A11" s="34"/>
      <c r="B11" s="47"/>
      <c r="C11" s="50"/>
      <c r="D11" s="49"/>
      <c r="E11" s="48"/>
      <c r="F11" s="48"/>
      <c r="G11" s="48"/>
      <c r="H11" s="48"/>
      <c r="I11" s="48"/>
      <c r="J11" s="48"/>
      <c r="K11" s="48"/>
      <c r="L11" s="48"/>
      <c r="M11" s="468"/>
      <c r="N11" s="468"/>
      <c r="O11" s="468"/>
      <c r="P11" s="51"/>
      <c r="Q11" s="363"/>
      <c r="T11"/>
    </row>
    <row r="12" spans="1:20">
      <c r="A12" s="34"/>
      <c r="B12" s="47"/>
      <c r="C12" s="50"/>
      <c r="D12" s="49"/>
      <c r="E12" s="48"/>
      <c r="F12" s="48"/>
      <c r="G12" s="48"/>
      <c r="H12" s="48"/>
      <c r="I12" s="48"/>
      <c r="J12" s="48"/>
      <c r="K12" s="48"/>
      <c r="L12" s="50"/>
      <c r="M12" s="467"/>
      <c r="N12" s="468"/>
      <c r="O12" s="468"/>
      <c r="P12" s="51"/>
      <c r="Q12" s="363"/>
      <c r="T12"/>
    </row>
    <row r="13" spans="1:20">
      <c r="A13" s="34"/>
      <c r="B13" s="35"/>
      <c r="C13" s="52"/>
      <c r="D13" s="53"/>
      <c r="E13" s="54"/>
      <c r="F13" s="54"/>
      <c r="G13" s="55"/>
      <c r="H13" s="55"/>
      <c r="I13" s="56"/>
      <c r="J13" s="57"/>
      <c r="K13" s="57"/>
      <c r="L13" s="58"/>
      <c r="M13" s="469"/>
      <c r="N13" s="470"/>
      <c r="O13" s="471"/>
      <c r="P13" s="34"/>
      <c r="Q13" s="364"/>
      <c r="T13"/>
    </row>
    <row r="14" spans="1:20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472"/>
      <c r="N14" s="472"/>
      <c r="O14" s="472"/>
      <c r="P14" s="64"/>
      <c r="Q14" s="364"/>
      <c r="T14"/>
    </row>
    <row r="15" spans="1:20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472"/>
      <c r="N15" s="472"/>
      <c r="O15" s="472"/>
      <c r="P15" s="63"/>
      <c r="Q15" s="364"/>
      <c r="T15"/>
    </row>
    <row r="16" spans="1:20">
      <c r="A16" s="34"/>
      <c r="B16" s="3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473"/>
      <c r="N16" s="473"/>
      <c r="O16" s="473"/>
      <c r="P16" s="67"/>
      <c r="Q16" s="364"/>
      <c r="T16"/>
    </row>
    <row r="17" spans="1:20">
      <c r="A17" s="34"/>
      <c r="B17" s="35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474"/>
      <c r="N17" s="474"/>
      <c r="O17" s="474"/>
      <c r="P17" s="34"/>
      <c r="Q17" s="361"/>
      <c r="T17"/>
    </row>
    <row r="18" spans="1:20">
      <c r="A18" s="34"/>
      <c r="B18" s="35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453"/>
      <c r="N18" s="453"/>
      <c r="O18" s="453"/>
      <c r="P18" s="68"/>
      <c r="Q18" s="365"/>
      <c r="T18"/>
    </row>
    <row r="19" spans="1:20">
      <c r="A19" s="34"/>
      <c r="B19" s="35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453"/>
      <c r="N19" s="453"/>
      <c r="O19" s="453"/>
      <c r="P19" s="72"/>
      <c r="Q19" s="365"/>
      <c r="T19"/>
    </row>
    <row r="20" spans="1:20">
      <c r="A20" s="34"/>
      <c r="B20" s="74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475"/>
      <c r="N20" s="475"/>
      <c r="O20" s="475"/>
      <c r="P20" s="72"/>
      <c r="Q20" s="365"/>
      <c r="T20"/>
    </row>
    <row r="21" spans="1:20">
      <c r="A21" s="34"/>
      <c r="B21" s="35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453"/>
      <c r="N21" s="453"/>
      <c r="O21" s="453"/>
      <c r="P21" s="72"/>
      <c r="Q21" s="365"/>
      <c r="T21"/>
    </row>
    <row r="22" spans="1:20">
      <c r="A22" s="34"/>
      <c r="B22" s="35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453"/>
      <c r="N22" s="453"/>
      <c r="O22" s="453"/>
      <c r="P22" s="72"/>
      <c r="Q22" s="365"/>
      <c r="T22"/>
    </row>
    <row r="23" spans="1:20">
      <c r="A23" s="34"/>
      <c r="B23" s="74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475"/>
      <c r="N23" s="475"/>
      <c r="O23" s="475"/>
      <c r="P23" s="72"/>
      <c r="Q23" s="365"/>
      <c r="T23"/>
    </row>
    <row r="24" spans="1:20">
      <c r="A24" s="34"/>
      <c r="B24" s="47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456"/>
      <c r="N24" s="456"/>
      <c r="O24" s="456"/>
      <c r="P24" s="72"/>
      <c r="Q24" s="365"/>
      <c r="T24"/>
    </row>
    <row r="25" spans="1:20">
      <c r="A25" s="2"/>
      <c r="B25" s="2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456"/>
      <c r="N25" s="456"/>
      <c r="O25" s="456"/>
      <c r="P25" s="28"/>
      <c r="Q25" s="366"/>
      <c r="T25"/>
    </row>
    <row r="26" spans="1:20">
      <c r="A26" s="2"/>
      <c r="B26" s="6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456"/>
      <c r="N26" s="456"/>
      <c r="O26" s="456"/>
      <c r="P26" s="28"/>
      <c r="Q26" s="366"/>
      <c r="T26"/>
    </row>
    <row r="27" spans="1:20">
      <c r="A27" s="2"/>
      <c r="B27" s="6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456"/>
      <c r="N27" s="456"/>
      <c r="O27" s="456"/>
      <c r="P27" s="28"/>
      <c r="Q27" s="366"/>
      <c r="T27"/>
    </row>
    <row r="28" spans="1:20">
      <c r="A28" s="2"/>
      <c r="B28" s="6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456"/>
      <c r="N28" s="456"/>
      <c r="O28" s="456"/>
      <c r="P28" s="28"/>
      <c r="Q28" s="366"/>
      <c r="T28"/>
    </row>
    <row r="29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463"/>
      <c r="N29" s="463"/>
      <c r="O29" s="463"/>
      <c r="P29" s="27"/>
      <c r="Q29" s="366"/>
      <c r="T29"/>
    </row>
    <row r="30" spans="1:20" ht="15" customHeight="1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472"/>
      <c r="N30" s="472"/>
      <c r="O30" s="472"/>
      <c r="P30" s="26"/>
      <c r="Q30" s="366"/>
      <c r="T30"/>
    </row>
    <row r="31" spans="1:20" ht="15" customHeight="1">
      <c r="A31" s="2"/>
      <c r="B31" s="25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456"/>
      <c r="N31" s="456"/>
      <c r="O31" s="456"/>
      <c r="P31" s="30"/>
      <c r="Q31" s="367"/>
      <c r="T31"/>
    </row>
    <row r="32" spans="1:20" ht="15" customHeight="1">
      <c r="A32" s="2"/>
      <c r="B32" s="25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456"/>
      <c r="N32" s="456"/>
      <c r="O32" s="456"/>
      <c r="P32" s="30"/>
      <c r="Q32" s="367"/>
      <c r="T32"/>
    </row>
    <row r="33" spans="1:21" ht="15" customHeight="1">
      <c r="A33" s="2"/>
      <c r="B33" s="25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456"/>
      <c r="N33" s="456"/>
      <c r="O33" s="456"/>
      <c r="P33" s="30"/>
      <c r="Q33" s="367"/>
      <c r="T33"/>
    </row>
    <row r="34" spans="1:21">
      <c r="A34" s="2"/>
      <c r="B34" s="2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456"/>
      <c r="N34" s="456"/>
      <c r="O34" s="456"/>
      <c r="P34" s="30"/>
      <c r="Q34" s="367"/>
      <c r="T34"/>
    </row>
    <row r="35" spans="1:21" ht="14" thickBot="1">
      <c r="A35" s="2"/>
      <c r="B35" s="25"/>
      <c r="C35" s="113"/>
      <c r="D35" s="107"/>
      <c r="E35" s="107"/>
      <c r="F35" s="107"/>
      <c r="G35" s="111"/>
      <c r="H35" s="71"/>
      <c r="I35" s="71"/>
      <c r="J35" s="29"/>
      <c r="K35" s="113"/>
      <c r="L35" s="107"/>
      <c r="M35" s="476"/>
      <c r="N35" s="476"/>
      <c r="O35" s="477"/>
      <c r="P35" s="71"/>
      <c r="Q35" s="367"/>
      <c r="T35"/>
    </row>
    <row r="36" spans="1:21" ht="22" customHeight="1">
      <c r="A36" s="1487" t="s">
        <v>25</v>
      </c>
      <c r="B36" s="1487"/>
      <c r="C36" s="114"/>
      <c r="D36" s="1490" t="str">
        <f>CONCATENATE(ROUND('IN (mmol|L)'!S107,1)," %")</f>
        <v>7,6 %</v>
      </c>
      <c r="E36" s="1490"/>
      <c r="F36" s="211"/>
      <c r="G36" s="112"/>
      <c r="H36" s="110"/>
      <c r="I36" s="110"/>
      <c r="J36" s="110"/>
      <c r="K36" s="114"/>
      <c r="L36" s="108"/>
      <c r="M36" s="1491" t="str">
        <f>CONCATENATE(ROUND('IN (mmol|L)'!S109,1)," %")</f>
        <v>7 %</v>
      </c>
      <c r="N36" s="1491"/>
      <c r="O36" s="455"/>
      <c r="P36" s="71"/>
      <c r="Q36" s="367"/>
      <c r="T36"/>
    </row>
    <row r="37" spans="1:21" ht="18" customHeight="1" thickBot="1">
      <c r="A37" s="1487"/>
      <c r="B37" s="1487"/>
      <c r="C37" s="116"/>
      <c r="D37" s="71"/>
      <c r="E37" s="71"/>
      <c r="F37" s="71"/>
      <c r="G37" s="113"/>
      <c r="H37" s="1417" t="str">
        <f>CONCATENATE(ROUND('IN (mmol|L)'!S108,1)," %")</f>
        <v>7,7 %</v>
      </c>
      <c r="I37" s="1417"/>
      <c r="J37" s="1417"/>
      <c r="K37" s="111"/>
      <c r="L37" s="116"/>
      <c r="M37" s="486"/>
      <c r="N37" s="1478" t="s">
        <v>94</v>
      </c>
      <c r="O37" s="457"/>
      <c r="P37" s="30"/>
      <c r="Q37" s="367"/>
      <c r="T37"/>
    </row>
    <row r="38" spans="1:21" ht="18" customHeight="1">
      <c r="A38" s="1488" t="s">
        <v>1</v>
      </c>
      <c r="B38" s="1489"/>
      <c r="C38" s="116"/>
      <c r="D38" s="71"/>
      <c r="E38" s="71"/>
      <c r="F38" s="71"/>
      <c r="G38" s="114"/>
      <c r="H38" s="108"/>
      <c r="I38" s="108"/>
      <c r="J38" s="108"/>
      <c r="K38" s="112"/>
      <c r="L38" s="300"/>
      <c r="M38" s="456"/>
      <c r="N38" s="1478"/>
      <c r="O38" s="457"/>
      <c r="P38" s="30"/>
      <c r="Q38" s="367"/>
      <c r="T38"/>
    </row>
    <row r="39" spans="1:21" ht="18" customHeight="1" thickBot="1">
      <c r="A39" s="1497" t="s">
        <v>2</v>
      </c>
      <c r="B39" s="1498"/>
      <c r="C39" s="235"/>
      <c r="D39" s="109"/>
      <c r="E39" s="109"/>
      <c r="F39" s="109"/>
      <c r="G39" s="109"/>
      <c r="H39" s="1462" t="str">
        <f>CONCATENATE(ROUND('IN (mmol|L)'!S106,1)," %")</f>
        <v>7,3 %</v>
      </c>
      <c r="I39" s="1463"/>
      <c r="J39" s="1464"/>
      <c r="K39" s="299"/>
      <c r="L39" s="109"/>
      <c r="M39" s="458"/>
      <c r="N39" s="458"/>
      <c r="O39" s="459"/>
      <c r="P39" s="30"/>
      <c r="Q39" s="367"/>
      <c r="T39"/>
    </row>
    <row r="40" spans="1:21" ht="18" customHeight="1">
      <c r="A40" s="2"/>
      <c r="B40" s="2"/>
      <c r="C40" s="236"/>
      <c r="D40" s="117"/>
      <c r="E40" s="106"/>
      <c r="F40" s="106"/>
      <c r="G40" s="106"/>
      <c r="H40" s="1465"/>
      <c r="I40" s="1466"/>
      <c r="J40" s="1467"/>
      <c r="K40" s="106"/>
      <c r="L40" s="106"/>
      <c r="M40" s="460"/>
      <c r="N40" s="461"/>
      <c r="O40" s="462"/>
      <c r="P40" s="10"/>
      <c r="Q40" s="368"/>
      <c r="T40"/>
    </row>
    <row r="41" spans="1:21">
      <c r="A41" s="2"/>
      <c r="B41" s="2"/>
      <c r="C41" s="2"/>
      <c r="D41" s="25"/>
      <c r="E41" s="6"/>
      <c r="F41" s="6"/>
      <c r="G41" s="6"/>
      <c r="H41" s="6"/>
      <c r="I41" s="6"/>
      <c r="J41" s="2"/>
      <c r="K41" s="2"/>
      <c r="L41" s="2"/>
      <c r="M41" s="463"/>
      <c r="N41" s="463"/>
      <c r="O41" s="463"/>
      <c r="P41" s="10"/>
      <c r="Q41" s="368"/>
      <c r="T41"/>
    </row>
    <row r="42" spans="1:21">
      <c r="A42" s="2"/>
      <c r="B42" s="2"/>
      <c r="C42" s="2"/>
      <c r="D42" s="25"/>
      <c r="E42" s="7"/>
      <c r="F42" s="7"/>
      <c r="G42" s="7"/>
      <c r="H42" s="7"/>
      <c r="I42" s="7"/>
      <c r="J42" s="2"/>
      <c r="K42" s="2"/>
      <c r="L42" s="2"/>
      <c r="M42" s="2"/>
      <c r="N42" s="2"/>
      <c r="O42" s="2"/>
      <c r="P42" s="10"/>
      <c r="Q42" s="368"/>
      <c r="T42"/>
    </row>
    <row r="43" spans="1:21" ht="22" customHeight="1">
      <c r="A43" s="2"/>
      <c r="B43" s="2"/>
      <c r="C43" s="2"/>
      <c r="D43" s="25"/>
      <c r="E43" s="7"/>
      <c r="F43" s="7"/>
      <c r="G43" s="7"/>
      <c r="H43" s="7"/>
      <c r="I43" s="7"/>
      <c r="J43" s="2"/>
      <c r="K43" s="2"/>
      <c r="L43" s="2"/>
      <c r="M43" s="2"/>
      <c r="N43" s="2"/>
      <c r="O43" s="2"/>
      <c r="P43" s="10"/>
      <c r="Q43" s="368"/>
      <c r="T43"/>
    </row>
    <row r="44" spans="1:21" ht="7" customHeight="1">
      <c r="A44" s="2"/>
      <c r="B44" s="2"/>
      <c r="C44" s="2"/>
      <c r="D44" s="25"/>
      <c r="E44" s="7"/>
      <c r="F44" s="7"/>
      <c r="G44" s="7"/>
      <c r="H44" s="7"/>
      <c r="I44" s="7"/>
      <c r="J44" s="2"/>
      <c r="K44" s="2"/>
      <c r="L44" s="2"/>
      <c r="M44" s="2"/>
      <c r="N44" s="2"/>
      <c r="O44" s="2"/>
      <c r="P44" s="10"/>
      <c r="Q44" s="368"/>
      <c r="R44" s="1042"/>
      <c r="S44" s="1043"/>
      <c r="T44" s="1043"/>
      <c r="U44" s="1044"/>
    </row>
    <row r="45" spans="1:21">
      <c r="A45" s="2"/>
      <c r="B45" s="2"/>
      <c r="C45" s="2"/>
      <c r="D45" s="25"/>
      <c r="E45" s="7"/>
      <c r="F45" s="7"/>
      <c r="G45" s="7"/>
      <c r="H45" s="7"/>
      <c r="I45" s="7"/>
      <c r="J45" s="2"/>
      <c r="K45" s="2"/>
      <c r="L45" s="2"/>
      <c r="M45" s="2"/>
      <c r="N45" s="2"/>
      <c r="O45" s="2"/>
      <c r="P45" s="2"/>
      <c r="Q45" s="354"/>
      <c r="R45" s="1045"/>
      <c r="S45" s="1050" t="s">
        <v>145</v>
      </c>
      <c r="T45" s="491"/>
      <c r="U45" s="1046"/>
    </row>
    <row r="46" spans="1:21">
      <c r="A46" s="2"/>
      <c r="B46" s="2"/>
      <c r="C46" s="2"/>
      <c r="D46" s="25"/>
      <c r="E46" s="7"/>
      <c r="F46" s="7"/>
      <c r="G46" s="7"/>
      <c r="H46" s="7"/>
      <c r="I46" s="7"/>
      <c r="J46" s="2"/>
      <c r="K46" s="2"/>
      <c r="L46" s="2"/>
      <c r="M46" s="2"/>
      <c r="N46" s="2"/>
      <c r="O46" s="2"/>
      <c r="P46" s="2"/>
      <c r="Q46" s="354"/>
      <c r="R46" s="1045"/>
      <c r="S46" s="1050" t="s">
        <v>146</v>
      </c>
      <c r="T46" s="491"/>
      <c r="U46" s="1046"/>
    </row>
    <row r="47" spans="1:21">
      <c r="A47" s="2"/>
      <c r="B47" s="2"/>
      <c r="C47" s="2"/>
      <c r="D47" s="25"/>
      <c r="E47" s="7"/>
      <c r="F47" s="7"/>
      <c r="G47" s="7"/>
      <c r="H47" s="7"/>
      <c r="I47" s="7"/>
      <c r="J47" s="2"/>
      <c r="K47" s="2"/>
      <c r="L47" s="2"/>
      <c r="M47" s="2"/>
      <c r="N47" s="2"/>
      <c r="O47" s="2"/>
      <c r="P47" s="2"/>
      <c r="Q47" s="354"/>
      <c r="R47" s="1045"/>
      <c r="S47" s="1051">
        <v>3.3</v>
      </c>
      <c r="T47" s="491" t="s">
        <v>196</v>
      </c>
      <c r="U47" s="1046"/>
    </row>
    <row r="48" spans="1:21">
      <c r="A48" s="2"/>
      <c r="B48" s="2"/>
      <c r="C48" s="2"/>
      <c r="D48" s="25"/>
      <c r="E48" s="7"/>
      <c r="F48" s="7"/>
      <c r="G48" s="7"/>
      <c r="H48" s="7"/>
      <c r="I48" s="7"/>
      <c r="J48" s="2"/>
      <c r="K48" s="2"/>
      <c r="L48" s="2"/>
      <c r="M48" s="2"/>
      <c r="N48" s="2"/>
      <c r="O48" s="2"/>
      <c r="P48" s="2"/>
      <c r="Q48" s="354"/>
      <c r="R48" s="1045"/>
      <c r="S48" s="1050"/>
      <c r="T48" s="491"/>
      <c r="U48" s="1046"/>
    </row>
    <row r="49" spans="1:21">
      <c r="A49" s="2"/>
      <c r="B49" s="2"/>
      <c r="C49" s="2"/>
      <c r="D49" s="25"/>
      <c r="E49" s="7"/>
      <c r="F49" s="7"/>
      <c r="G49" s="7"/>
      <c r="H49" s="7"/>
      <c r="I49" s="7"/>
      <c r="J49" s="2"/>
      <c r="K49" s="2"/>
      <c r="L49" s="2"/>
      <c r="M49" s="2"/>
      <c r="N49" s="2"/>
      <c r="O49" s="2"/>
      <c r="P49" s="2"/>
      <c r="Q49" s="354"/>
      <c r="R49" s="1045"/>
      <c r="S49" s="1051">
        <v>9.1999999999999993</v>
      </c>
      <c r="T49" s="491" t="s">
        <v>196</v>
      </c>
      <c r="U49" s="1046"/>
    </row>
    <row r="50" spans="1:21" ht="7" customHeight="1">
      <c r="A50" s="2"/>
      <c r="B50" s="2"/>
      <c r="C50" s="2"/>
      <c r="D50" s="25"/>
      <c r="E50" s="7"/>
      <c r="F50" s="7"/>
      <c r="G50" s="7"/>
      <c r="H50" s="7"/>
      <c r="I50" s="7"/>
      <c r="J50" s="2"/>
      <c r="K50" s="2"/>
      <c r="L50" s="2"/>
      <c r="M50" s="2"/>
      <c r="N50" s="2"/>
      <c r="O50" s="2"/>
      <c r="P50" s="2"/>
      <c r="Q50" s="354"/>
      <c r="R50" s="1047"/>
      <c r="S50" s="1048"/>
      <c r="T50" s="1048"/>
      <c r="U50" s="1049"/>
    </row>
    <row r="51" spans="1:21">
      <c r="A51" s="2"/>
      <c r="B51" s="2"/>
      <c r="C51" s="2"/>
      <c r="D51" s="3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354"/>
      <c r="T51"/>
    </row>
    <row r="52" spans="1:21">
      <c r="A52" s="2"/>
      <c r="B52" s="2"/>
      <c r="C52" s="2"/>
      <c r="D52" s="3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354"/>
      <c r="T52"/>
    </row>
    <row r="53" spans="1:2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354"/>
      <c r="T53"/>
    </row>
    <row r="54" spans="1:2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354"/>
      <c r="T54"/>
    </row>
    <row r="55" spans="1:2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354"/>
      <c r="T55"/>
    </row>
    <row r="56" spans="1:2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354"/>
      <c r="T56"/>
    </row>
    <row r="57" spans="1:2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354"/>
      <c r="T57"/>
    </row>
    <row r="58" spans="1:2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354"/>
      <c r="T58"/>
    </row>
    <row r="59" spans="1:2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354"/>
      <c r="T59"/>
    </row>
    <row r="60" spans="1:2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354"/>
      <c r="T60"/>
    </row>
    <row r="61" spans="1:2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54"/>
      <c r="T61"/>
    </row>
    <row r="62" spans="1:2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354"/>
      <c r="T62"/>
    </row>
    <row r="63" spans="1:2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354"/>
      <c r="T63"/>
    </row>
    <row r="64" spans="1:2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354"/>
      <c r="T64"/>
    </row>
    <row r="65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354"/>
      <c r="T65"/>
    </row>
    <row r="66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354"/>
      <c r="T66"/>
    </row>
    <row r="67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354"/>
      <c r="T67"/>
    </row>
    <row r="68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354"/>
      <c r="T68"/>
    </row>
    <row r="69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354"/>
      <c r="T69"/>
    </row>
    <row r="70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354"/>
      <c r="T70"/>
    </row>
    <row r="7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354"/>
      <c r="T71"/>
    </row>
    <row r="72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354"/>
      <c r="T72"/>
    </row>
    <row r="73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354"/>
      <c r="T73"/>
    </row>
    <row r="74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354"/>
      <c r="T74"/>
    </row>
    <row r="75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354"/>
      <c r="T75"/>
    </row>
    <row r="76" spans="1:20">
      <c r="A76" s="2"/>
      <c r="B76" s="2"/>
      <c r="C76" s="2"/>
      <c r="D76" s="2"/>
      <c r="E76" s="2"/>
      <c r="F76" s="2"/>
      <c r="G76" s="2"/>
      <c r="H76" s="2"/>
      <c r="I76" s="2"/>
      <c r="J76" s="2"/>
      <c r="O76" s="2"/>
      <c r="P76" s="2"/>
      <c r="Q76" s="354"/>
      <c r="T76"/>
    </row>
    <row r="77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354"/>
      <c r="R77" s="2"/>
      <c r="T77"/>
    </row>
    <row r="78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33"/>
      <c r="T78"/>
    </row>
    <row r="79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33"/>
      <c r="T79"/>
    </row>
    <row r="80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33"/>
      <c r="T80"/>
    </row>
    <row r="8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33"/>
      <c r="T81"/>
    </row>
    <row r="82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33"/>
      <c r="T82"/>
    </row>
    <row r="83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33"/>
      <c r="T83"/>
    </row>
    <row r="84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33"/>
      <c r="T84"/>
    </row>
    <row r="85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33"/>
      <c r="T85"/>
    </row>
    <row r="86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33"/>
      <c r="T86"/>
    </row>
    <row r="87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33"/>
      <c r="T87"/>
    </row>
    <row r="88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33"/>
      <c r="T88"/>
    </row>
    <row r="89" spans="1:2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33"/>
      <c r="T89"/>
    </row>
    <row r="90" spans="1:2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33"/>
      <c r="T90"/>
    </row>
    <row r="9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33"/>
      <c r="T91"/>
    </row>
    <row r="92" spans="1:2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33"/>
      <c r="T92"/>
    </row>
    <row r="93" spans="1:2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33"/>
      <c r="T93"/>
    </row>
    <row r="94" spans="1:20">
      <c r="A94" s="2"/>
      <c r="B94" s="2"/>
      <c r="C94" s="2"/>
      <c r="D94" s="2"/>
      <c r="E94" s="2"/>
      <c r="F94" s="2"/>
      <c r="G94" s="2"/>
      <c r="H94" s="2"/>
      <c r="I94" s="2"/>
      <c r="J94" s="2"/>
      <c r="O94" s="2"/>
      <c r="P94" s="2"/>
      <c r="Q94" s="2"/>
      <c r="R94" s="333"/>
      <c r="T94"/>
    </row>
    <row r="95" spans="1:2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33"/>
      <c r="T95"/>
    </row>
    <row r="96" spans="1:2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33"/>
      <c r="T96"/>
    </row>
    <row r="97" spans="1:2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33"/>
      <c r="T97"/>
    </row>
    <row r="98" spans="1:2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33"/>
      <c r="T98"/>
    </row>
    <row r="99" spans="1:2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33"/>
      <c r="T99"/>
    </row>
    <row r="100" spans="1:20">
      <c r="R100" s="333"/>
      <c r="T100"/>
    </row>
    <row r="101" spans="1:20">
      <c r="R101" s="333"/>
      <c r="T101"/>
    </row>
    <row r="102" spans="1:20">
      <c r="R102" s="333"/>
      <c r="T102"/>
    </row>
    <row r="103" spans="1:20">
      <c r="R103" s="333"/>
      <c r="T103"/>
    </row>
    <row r="104" spans="1:20">
      <c r="R104" s="333"/>
      <c r="T104"/>
    </row>
    <row r="105" spans="1:20">
      <c r="K105" s="500"/>
      <c r="L105" s="501"/>
      <c r="M105" s="1492"/>
      <c r="N105" s="1492"/>
      <c r="R105" s="333"/>
      <c r="T105"/>
    </row>
    <row r="106" spans="1:20">
      <c r="A106" s="186" t="s">
        <v>93</v>
      </c>
      <c r="B106" s="187" t="str">
        <f>'IN (mmol|L)'!D$18</f>
        <v>I.E. / Basal</v>
      </c>
      <c r="C106" s="188" t="str">
        <f>'IN (mmol|L)'!D$19</f>
        <v>BE</v>
      </c>
      <c r="D106" s="188" t="s">
        <v>87</v>
      </c>
      <c r="E106" s="494" t="s">
        <v>112</v>
      </c>
      <c r="F106" s="1468" t="str">
        <f>CONCATENATE('IN (mmol|L)'!D$20," / ",'IN (mmol|L)'!D$21," / ",'IN (mmol|L)'!D$22," / ",'IN (mmol|L)'!D$23)</f>
        <v>Sport / Krankheit / Besonderheiten / Sonstiges</v>
      </c>
      <c r="G106" s="1469"/>
      <c r="H106" s="1469"/>
      <c r="I106" s="1469"/>
      <c r="J106" s="1469"/>
      <c r="K106" s="1469"/>
      <c r="L106" s="1469"/>
      <c r="M106" s="1469"/>
      <c r="N106" s="1469"/>
      <c r="O106" s="1469"/>
      <c r="P106" s="1469"/>
      <c r="Q106" s="2"/>
      <c r="R106" s="333"/>
      <c r="T106"/>
    </row>
    <row r="107" spans="1:20" ht="39" customHeight="1">
      <c r="A107" s="1075">
        <f>C$1</f>
        <v>41274</v>
      </c>
      <c r="B107" s="376" t="str">
        <f>IF('IN (mmol|L)'!$E$111=0,"",'IN (mmol|L)'!$E$111)</f>
        <v>15 - 10 - 09/ 10+15</v>
      </c>
      <c r="C107" s="377" t="str">
        <f>IF('IN (mmol|L)'!$E$112=0,"",'IN (mmol|L)'!$E$112)</f>
        <v>05 - 04 - 03</v>
      </c>
      <c r="D107" s="387" t="str">
        <f>IF(OR(B107="",C107=0),"",CONCATENATE(IF(LEFT(B107,2)*LEFT(C107,2)=0,"X",ROUND(LEFT(B107,2)/LEFT(C107,2),1))," - ",IF(MID(B107,6,2)*MID(C107,6,2)=0,"X",ROUND(MID(B107,6,2)/MID(C107,6,2),1))," - ",IF(MID(B107,11,2)*MID(C107,11,2)=0,"X",ROUND(MID(B107,11,2)/MID(C107,11,2),1))))</f>
        <v>3 - 2,5 - 3</v>
      </c>
      <c r="E107" s="495" t="str">
        <f>'(intern2)'!BA200</f>
        <v>Faktor höher: 1x</v>
      </c>
      <c r="F107" s="1470" t="str">
        <f>CONCATENATE('IN (mmol|L)'!E$113," / ",'IN (mmol|L)'!E$114," / ",'IN (mmol|L)'!E$115," / ",'IN (mmol|L)'!E$116)</f>
        <v>…ist Mord / Geldarmut / mag nicht mehr / immer frisch bleiben</v>
      </c>
      <c r="G107" s="1471"/>
      <c r="H107" s="1471"/>
      <c r="I107" s="1471"/>
      <c r="J107" s="1471"/>
      <c r="K107" s="1471"/>
      <c r="L107" s="1471"/>
      <c r="M107" s="1471"/>
      <c r="N107" s="1471"/>
      <c r="O107" s="1471"/>
      <c r="P107" s="1471"/>
      <c r="Q107" s="355"/>
      <c r="R107" s="2"/>
      <c r="T107"/>
    </row>
    <row r="108" spans="1:20" ht="39" customHeight="1">
      <c r="A108" s="1075">
        <f>D$1</f>
        <v>41277.5</v>
      </c>
      <c r="B108" s="381" t="str">
        <f>IF('IN (mmol|L)'!$F$111=0,"",'IN (mmol|L)'!$F$111)</f>
        <v>15 - 10 - 09/ 10+15</v>
      </c>
      <c r="C108" s="382" t="str">
        <f>IF('IN (mmol|L)'!$F$112=0,"",'IN (mmol|L)'!$F$112)</f>
        <v>05 - 04 - 03</v>
      </c>
      <c r="D108" s="384" t="str">
        <f t="shared" ref="D108:D115" si="0">IF(OR(B108="",C108=0),"",CONCATENATE(IF(LEFT(B108,2)*LEFT(C108,2)=0,"X",ROUND(LEFT(B108,2)/LEFT(C108,2),1))," - ",IF(MID(B108,6,2)*MID(C108,6,2)=0,"X",ROUND(MID(B108,6,2)/MID(C108,6,2),1))," - ",IF(MID(B108,11,2)*MID(C108,11,2)=0,"X",ROUND(MID(B108,11,2)/MID(C108,11,2),1))))</f>
        <v>3 - 2,5 - 3</v>
      </c>
      <c r="E108" s="496" t="str">
        <f>'(intern2)'!BA201</f>
        <v>Faktor höher: 2x</v>
      </c>
      <c r="F108" s="1493" t="str">
        <f>CONCATENATE('IN (mmol|L)'!F$113," / ",'IN (mmol|L)'!F$114," / ",'IN (mmol|L)'!F$115," / ",'IN (mmol|L)'!F$116)</f>
        <v xml:space="preserve"> /  /  / </v>
      </c>
      <c r="G108" s="1494"/>
      <c r="H108" s="1494"/>
      <c r="I108" s="1494"/>
      <c r="J108" s="1494"/>
      <c r="K108" s="1494"/>
      <c r="L108" s="1494"/>
      <c r="M108" s="1494"/>
      <c r="N108" s="1494"/>
      <c r="O108" s="1494"/>
      <c r="P108" s="1494"/>
      <c r="Q108" s="354"/>
      <c r="R108" s="2"/>
      <c r="T108"/>
    </row>
    <row r="109" spans="1:20" ht="39" customHeight="1">
      <c r="A109" s="1075">
        <f>E$1</f>
        <v>41281</v>
      </c>
      <c r="B109" s="381" t="str">
        <f>IF('IN (mmol|L)'!$G$111=0,"",'IN (mmol|L)'!$G$111)</f>
        <v>15 - 10 - 09/ 10+15</v>
      </c>
      <c r="C109" s="382" t="str">
        <f>IF('IN (mmol|L)'!$G$112=0,"",'IN (mmol|L)'!$G$112)</f>
        <v>05 - 04 - 03</v>
      </c>
      <c r="D109" s="384" t="str">
        <f t="shared" si="0"/>
        <v>3 - 2,5 - 3</v>
      </c>
      <c r="E109" s="496" t="str">
        <f>'(intern2)'!BA202</f>
        <v>Faktor höher: 1x</v>
      </c>
      <c r="F109" s="1493" t="str">
        <f>CONCATENATE('IN (mmol|L)'!H$113," / ",'IN (mmol|L)'!G$114," / ",'IN (mmol|L)'!G$115," / ",'IN (mmol|L)'!G$116)</f>
        <v xml:space="preserve"> / Kopfweh /  / </v>
      </c>
      <c r="G109" s="1494"/>
      <c r="H109" s="1494"/>
      <c r="I109" s="1494"/>
      <c r="J109" s="1494"/>
      <c r="K109" s="1494"/>
      <c r="L109" s="1494"/>
      <c r="M109" s="1494"/>
      <c r="N109" s="1494"/>
      <c r="O109" s="1494"/>
      <c r="P109" s="1494"/>
      <c r="Q109" s="354"/>
      <c r="R109" s="2"/>
      <c r="T109"/>
    </row>
    <row r="110" spans="1:20" ht="39" customHeight="1">
      <c r="A110" s="1075">
        <f>F$1</f>
        <v>41284.5</v>
      </c>
      <c r="B110" s="385" t="str">
        <f>IF('IN (mmol|L)'!$H$111=0,"",'IN (mmol|L)'!$H$111)</f>
        <v>15 - 10 - 09/ 10+15</v>
      </c>
      <c r="C110" s="375" t="str">
        <f>IF('IN (mmol|L)'!$H$112=0,"",'IN (mmol|L)'!$H$112)</f>
        <v>05 - 04 - 03</v>
      </c>
      <c r="D110" s="384" t="str">
        <f t="shared" si="0"/>
        <v>3 - 2,5 - 3</v>
      </c>
      <c r="E110" s="496" t="str">
        <f>'(intern2)'!BA203</f>
        <v>Faktor höher: 1x</v>
      </c>
      <c r="F110" s="1495" t="str">
        <f>CONCATENATE('IN (mmol|L)'!H$113," / ",'IN (mmol|L)'!H$114," / ",'IN (mmol|L)'!H$115," / ",'IN (mmol|L)'!H$116)</f>
        <v xml:space="preserve"> /  /  / </v>
      </c>
      <c r="G110" s="1496"/>
      <c r="H110" s="1496"/>
      <c r="I110" s="1496"/>
      <c r="J110" s="1496"/>
      <c r="K110" s="1496"/>
      <c r="L110" s="1496"/>
      <c r="M110" s="1496"/>
      <c r="N110" s="1496"/>
      <c r="O110" s="1496"/>
      <c r="P110" s="1496"/>
      <c r="Q110" s="354"/>
      <c r="R110" s="2"/>
      <c r="T110"/>
    </row>
    <row r="111" spans="1:20" ht="39" customHeight="1">
      <c r="A111" s="1075">
        <f>G$1</f>
        <v>41288</v>
      </c>
      <c r="B111" s="497" t="str">
        <f>IF('IN (mmol|L)'!$I$111=0,"",'IN (mmol|L)'!$I$111)</f>
        <v>15 - 10 - 09/ 10+15</v>
      </c>
      <c r="C111" s="498" t="str">
        <f>IF('IN (mmol|L)'!$I$112=0,"",'IN (mmol|L)'!$I$112)</f>
        <v>05 - 04 - 03</v>
      </c>
      <c r="D111" s="499" t="str">
        <f t="shared" si="0"/>
        <v>3 - 2,5 - 3</v>
      </c>
      <c r="E111" s="496" t="str">
        <f>'(intern2)'!BA204</f>
        <v>weiter so</v>
      </c>
      <c r="F111" s="1427" t="str">
        <f>CONCATENATE('IN (mmol|L)'!I$113," / ",'IN (mmol|L)'!I$114," / ",'IN (mmol|L)'!I$115," / ",'IN (mmol|L)'!I$116)</f>
        <v xml:space="preserve"> /  /  / </v>
      </c>
      <c r="G111" s="1428"/>
      <c r="H111" s="1428"/>
      <c r="I111" s="1428"/>
      <c r="J111" s="1428"/>
      <c r="K111" s="1428"/>
      <c r="L111" s="1428"/>
      <c r="M111" s="1428"/>
      <c r="N111" s="1428"/>
      <c r="O111" s="1428"/>
      <c r="P111" s="1428"/>
      <c r="Q111" s="354"/>
      <c r="R111" s="2"/>
      <c r="T111"/>
    </row>
    <row r="112" spans="1:20" ht="39" customHeight="1">
      <c r="A112" s="1075">
        <f>H$1</f>
        <v>41291.5</v>
      </c>
      <c r="B112" s="550" t="str">
        <f>IF('IN (mmol|L)'!$J$111=0,"",'IN (mmol|L)'!$J$111)</f>
        <v>15 - 10 - 09/ 10+15</v>
      </c>
      <c r="C112" s="551" t="str">
        <f>IF('IN (mmol|L)'!$J$112=0,"",'IN (mmol|L)'!$J$112)</f>
        <v>05 - 04 - 03</v>
      </c>
      <c r="D112" s="499" t="str">
        <f t="shared" si="0"/>
        <v>3 - 2,5 - 3</v>
      </c>
      <c r="E112" s="496" t="str">
        <f>'(intern2)'!BA205</f>
        <v>Faktor höher: 2x</v>
      </c>
      <c r="F112" s="1476" t="str">
        <f>CONCATENATE('IN (mmol|L)'!J$113," / ",'IN (mmol|L)'!J$114," / ",'IN (mmol|L)'!J$115," / ",'IN (mmol|L)'!J$116)</f>
        <v xml:space="preserve"> /  /  / </v>
      </c>
      <c r="G112" s="1477"/>
      <c r="H112" s="1477"/>
      <c r="I112" s="1477"/>
      <c r="J112" s="1477"/>
      <c r="K112" s="1477"/>
      <c r="L112" s="1477"/>
      <c r="M112" s="1477"/>
      <c r="N112" s="1477"/>
      <c r="O112" s="1477"/>
      <c r="P112" s="1477"/>
      <c r="Q112" s="354"/>
      <c r="R112" s="2"/>
      <c r="T112"/>
    </row>
    <row r="113" spans="1:20" ht="39" customHeight="1">
      <c r="A113" s="1075">
        <f>I$1</f>
        <v>41295</v>
      </c>
      <c r="B113" s="550" t="str">
        <f>IF('IN (mmol|L)'!$K$111=0,"",'IN (mmol|L)'!$K$111)</f>
        <v>15 - 10 - 09/ 10+15</v>
      </c>
      <c r="C113" s="551" t="str">
        <f>IF('IN (mmol|L)'!$K$112=0,"",'IN (mmol|L)'!$K$112)</f>
        <v>05 - 04 - 03</v>
      </c>
      <c r="D113" s="499" t="str">
        <f t="shared" si="0"/>
        <v>3 - 2,5 - 3</v>
      </c>
      <c r="E113" s="496" t="str">
        <f>'(intern2)'!BA206</f>
        <v>Faktor höher: 2x</v>
      </c>
      <c r="F113" s="1476" t="str">
        <f>CONCATENATE('IN (mmol|L)'!K$113," / ",'IN (mmol|L)'!K$114," / ",'IN (mmol|L)'!K$115," / ",'IN (mmol|L)'!K$116)</f>
        <v xml:space="preserve"> /  /  / </v>
      </c>
      <c r="G113" s="1477"/>
      <c r="H113" s="1477"/>
      <c r="I113" s="1477"/>
      <c r="J113" s="1477"/>
      <c r="K113" s="1477"/>
      <c r="L113" s="1477"/>
      <c r="M113" s="1477"/>
      <c r="N113" s="1477"/>
      <c r="O113" s="1477"/>
      <c r="P113" s="1477"/>
      <c r="Q113" s="354"/>
      <c r="R113" s="2"/>
      <c r="T113"/>
    </row>
    <row r="114" spans="1:20" ht="39" customHeight="1">
      <c r="A114" s="1075">
        <f>J$1</f>
        <v>41298.5</v>
      </c>
      <c r="B114" s="550" t="str">
        <f>IF('IN (mmol|L)'!$L$111=0,"",'IN (mmol|L)'!$L$111)</f>
        <v>15 - 10 - 09/ 10+15</v>
      </c>
      <c r="C114" s="551" t="str">
        <f>IF('IN (mmol|L)'!$L$112=0,"",'IN (mmol|L)'!$L$112)</f>
        <v>05 - 04 - 03</v>
      </c>
      <c r="D114" s="499" t="str">
        <f t="shared" si="0"/>
        <v>3 - 2,5 - 3</v>
      </c>
      <c r="E114" s="496" t="str">
        <f>'(intern2)'!BA207</f>
        <v>Faktor höher: 1x</v>
      </c>
      <c r="F114" s="1476" t="str">
        <f>CONCATENATE('IN (mmol|L)'!L$113," / ",'IN (mmol|L)'!L$114," / ",'IN (mmol|L)'!L$115," / ",'IN (mmol|L)'!L$116)</f>
        <v xml:space="preserve"> /  /  / </v>
      </c>
      <c r="G114" s="1477"/>
      <c r="H114" s="1477"/>
      <c r="I114" s="1477"/>
      <c r="J114" s="1477"/>
      <c r="K114" s="1477"/>
      <c r="L114" s="1477"/>
      <c r="M114" s="1477"/>
      <c r="N114" s="1477"/>
      <c r="O114" s="1477"/>
      <c r="P114" s="1477"/>
      <c r="Q114" s="354"/>
      <c r="R114" s="2"/>
      <c r="T114"/>
    </row>
    <row r="115" spans="1:20" ht="39" customHeight="1">
      <c r="A115" s="1075">
        <f>K$1</f>
        <v>41302</v>
      </c>
      <c r="B115" s="552" t="str">
        <f>IF('IN (mmol|L)'!$M$111=0,"",'IN (mmol|L)'!$M$111)</f>
        <v>15 - 10 - 09/ 10+15</v>
      </c>
      <c r="C115" s="553" t="str">
        <f>IF('IN (mmol|L)'!$M$112=0,"",'IN (mmol|L)'!$M$112)</f>
        <v>05 - 04 - 03</v>
      </c>
      <c r="D115" s="510" t="str">
        <f t="shared" si="0"/>
        <v>3 - 2,5 - 3</v>
      </c>
      <c r="E115" s="496" t="str">
        <f>'(intern2)'!BA208</f>
        <v>weiter so</v>
      </c>
      <c r="F115" s="1472" t="str">
        <f>CONCATENATE('IN (mmol|L)'!M$113," / ",'IN (mmol|L)'!M$114," / ",'IN (mmol|L)'!M$115," / ",'IN (mmol|L)'!M$116)</f>
        <v xml:space="preserve"> /  /  / </v>
      </c>
      <c r="G115" s="1473"/>
      <c r="H115" s="1473"/>
      <c r="I115" s="1473"/>
      <c r="J115" s="1473"/>
      <c r="K115" s="1473"/>
      <c r="L115" s="1473"/>
      <c r="M115" s="1473"/>
      <c r="N115" s="1473"/>
      <c r="O115" s="1473"/>
      <c r="P115" s="1473"/>
      <c r="Q115" s="354"/>
      <c r="R115" s="2"/>
      <c r="T115"/>
    </row>
    <row r="116" spans="1:20" ht="39" customHeight="1">
      <c r="A116" s="1075">
        <f>L$1</f>
        <v>41305.5</v>
      </c>
      <c r="B116" s="552" t="str">
        <f>IF('IN (mmol|L)'!$N$111=0,"",'IN (mmol|L)'!$N$111)</f>
        <v>15 - 10 - 09/ 10+15</v>
      </c>
      <c r="C116" s="553" t="str">
        <f>IF('IN (mmol|L)'!$N$112=0,"",'IN (mmol|L)'!$N$112)</f>
        <v>05 - 04 - 03</v>
      </c>
      <c r="D116" s="510" t="str">
        <f>IF(OR(B116="",C116=0),"",CONCATENATE(IF(LEFT(B116,2)*LEFT(C116,2)=0,"X",ROUND(LEFT(B116,2)/LEFT(C116,2),1))," - ",IF(MID(B116,6,2)*MID(C116,6,2)=0,"X",ROUND(MID(B116,6,2)/MID(C116,6,2),1))," - ",IF(MID(B116,11,2)*MID(C116,11,2)=0,"X",ROUND(MID(B116,11,2)/MID(C116,11,2),1))))</f>
        <v>3 - 2,5 - 3</v>
      </c>
      <c r="E116" s="496" t="str">
        <f>'(intern2)'!BA209</f>
        <v>Faktor höher: 1x</v>
      </c>
      <c r="F116" s="1472" t="str">
        <f>CONCATENATE('IN (mmol|L)'!N$113," / ",'IN (mmol|L)'!N$114," / ",'IN (mmol|L)'!N$115," / ",'IN (mmol|L)'!N$116)</f>
        <v xml:space="preserve"> /  /  / </v>
      </c>
      <c r="G116" s="1473"/>
      <c r="H116" s="1473"/>
      <c r="I116" s="1473"/>
      <c r="J116" s="1473"/>
      <c r="K116" s="1473"/>
      <c r="L116" s="1473"/>
      <c r="M116" s="1473"/>
      <c r="N116" s="1473"/>
      <c r="O116" s="1473"/>
      <c r="P116" s="1473"/>
      <c r="Q116" s="354"/>
      <c r="R116" s="2"/>
      <c r="T116"/>
    </row>
    <row r="117" spans="1:20" ht="39" customHeight="1">
      <c r="A117" s="1081">
        <f>M$1</f>
        <v>41312.5</v>
      </c>
      <c r="B117" s="502" t="str">
        <f>IF('IN (mmol|L)'!$O$111=0,"",'IN (mmol|L)'!$O$111)</f>
        <v>Trend</v>
      </c>
      <c r="C117" s="503" t="str">
        <f>IF('IN (mmol|L)'!$O$112=0,"",'IN (mmol|L)'!$O$112)</f>
        <v>Trend</v>
      </c>
      <c r="D117" s="504" t="str">
        <f>IF('IN (mmol|L)'!$O$112=0,"",'IN (mmol|L)'!$O$112)</f>
        <v>Trend</v>
      </c>
      <c r="E117" s="505"/>
      <c r="F117" s="1474" t="str">
        <f>CONCATENATE('IN (mmol|L)'!O$113," / ",'IN (mmol|L)'!O$114," / ",'IN (mmol|L)'!O$115," / ",'IN (mmol|L)'!O$116)</f>
        <v>Trend / Trend / Trend / Trend</v>
      </c>
      <c r="G117" s="1475"/>
      <c r="H117" s="1475"/>
      <c r="I117" s="1475"/>
      <c r="J117" s="1475"/>
      <c r="K117" s="1475"/>
      <c r="L117" s="1475"/>
      <c r="M117" s="1475"/>
      <c r="N117" s="1475"/>
      <c r="O117" s="1475"/>
      <c r="P117" s="1475"/>
      <c r="Q117" s="478"/>
      <c r="R117" s="2"/>
      <c r="T117"/>
    </row>
    <row r="118" spans="1:20" ht="39" customHeight="1">
      <c r="A118" s="1080">
        <f>N$1</f>
        <v>41319.5</v>
      </c>
      <c r="B118" s="506" t="str">
        <f>IF('IN (mmol|L)'!$P$111=0,"",'IN (mmol|L)'!$P$111)</f>
        <v>Trend</v>
      </c>
      <c r="C118" s="507" t="str">
        <f>IF('IN (mmol|L)'!$P$112=0,"",'IN (mmol|L)'!$P$112)</f>
        <v>Trend</v>
      </c>
      <c r="D118" s="507" t="str">
        <f>IF('IN (mmol|L)'!$P$112=0,"",'IN (mmol|L)'!$P$112)</f>
        <v>Trend</v>
      </c>
      <c r="E118" s="508"/>
      <c r="F118" s="1479" t="str">
        <f>CONCATENATE('IN (mmol|L)'!P$113," / ",'IN (mmol|L)'!P$114," / ",'IN (mmol|L)'!P$115," / ",'IN (mmol|L)'!P$116)</f>
        <v>Trend / Trend / Trend / Trend</v>
      </c>
      <c r="G118" s="1480"/>
      <c r="H118" s="1480"/>
      <c r="I118" s="1480"/>
      <c r="J118" s="1480"/>
      <c r="K118" s="1480"/>
      <c r="L118" s="1480"/>
      <c r="M118" s="1480"/>
      <c r="N118" s="1480"/>
      <c r="O118" s="1480"/>
      <c r="P118" s="1480"/>
      <c r="Q118" s="478"/>
      <c r="R118" s="2"/>
      <c r="T118"/>
    </row>
    <row r="119" spans="1:20" ht="39" customHeight="1">
      <c r="A119" s="1079">
        <f>O$1</f>
        <v>41326.5</v>
      </c>
      <c r="B119" s="480" t="str">
        <f>IF('IN (mmol|L)'!$Q$111=0,"",'IN (mmol|L)'!$Q$111)</f>
        <v>Trend</v>
      </c>
      <c r="C119" s="479" t="str">
        <f>IF('IN (mmol|L)'!$Q$112=0,"",'IN (mmol|L)'!$Q$112)</f>
        <v>Trend</v>
      </c>
      <c r="D119" s="479" t="str">
        <f>IF('IN (mmol|L)'!$Q$112=0,"",'IN (mmol|L)'!$Q$112)</f>
        <v>Trend</v>
      </c>
      <c r="E119" s="481"/>
      <c r="F119" s="1481" t="str">
        <f>CONCATENATE('IN (mmol|L)'!Q$113," / ",'IN (mmol|L)'!Q$114," / ",'IN (mmol|L)'!Q$115," / ",'IN (mmol|L)'!Q$116)</f>
        <v>Trend / Trend / Trend / Trend</v>
      </c>
      <c r="G119" s="1482"/>
      <c r="H119" s="1482"/>
      <c r="I119" s="1482"/>
      <c r="J119" s="1482"/>
      <c r="K119" s="1482"/>
      <c r="L119" s="1482"/>
      <c r="M119" s="1482"/>
      <c r="N119" s="1482"/>
      <c r="O119" s="1482"/>
      <c r="P119" s="1482"/>
      <c r="Q119" s="478"/>
      <c r="R119" s="2"/>
      <c r="T119"/>
    </row>
    <row r="120" spans="1:20">
      <c r="F120" s="1483"/>
      <c r="G120" s="1483"/>
      <c r="H120" s="1483"/>
      <c r="I120" s="1483"/>
      <c r="J120" s="1483"/>
      <c r="K120" s="1483"/>
      <c r="L120" s="1483"/>
      <c r="M120" s="1483"/>
      <c r="N120" s="1483"/>
      <c r="O120" s="1483"/>
      <c r="P120" s="518"/>
      <c r="Q120" s="518"/>
      <c r="R120" s="2"/>
      <c r="T120"/>
    </row>
    <row r="121" spans="1:20" ht="18">
      <c r="E121" s="356"/>
      <c r="F121" s="1484"/>
      <c r="G121" s="1484"/>
      <c r="H121" s="1484"/>
      <c r="I121" s="1484"/>
      <c r="J121" s="1484"/>
      <c r="K121" s="1484"/>
      <c r="L121" s="1484"/>
      <c r="M121" s="1484"/>
      <c r="N121" s="1484"/>
      <c r="O121" s="1484"/>
      <c r="P121" s="2"/>
      <c r="Q121" s="2"/>
      <c r="R121" s="2"/>
      <c r="T121"/>
    </row>
    <row r="122" spans="1:20">
      <c r="F122" s="1484"/>
      <c r="G122" s="1484"/>
      <c r="H122" s="1484"/>
      <c r="I122" s="1484"/>
      <c r="J122" s="1484"/>
      <c r="K122" s="1484"/>
      <c r="L122" s="1484"/>
      <c r="M122" s="1484"/>
      <c r="N122" s="1484"/>
      <c r="O122" s="1484"/>
      <c r="P122" s="2"/>
      <c r="Q122" s="2"/>
      <c r="R122" s="2"/>
      <c r="T122"/>
    </row>
    <row r="123" spans="1:20">
      <c r="F123" s="1484"/>
      <c r="G123" s="1484"/>
      <c r="H123" s="1484"/>
      <c r="I123" s="1484"/>
      <c r="J123" s="1484"/>
      <c r="K123" s="1484"/>
      <c r="L123" s="1484"/>
      <c r="M123" s="1484"/>
      <c r="N123" s="1484"/>
      <c r="O123" s="1484"/>
      <c r="P123" s="2"/>
      <c r="Q123" s="2"/>
      <c r="T123"/>
    </row>
    <row r="124" spans="1:20">
      <c r="F124" s="1484"/>
      <c r="G124" s="1484"/>
      <c r="H124" s="1484"/>
      <c r="I124" s="1484"/>
      <c r="J124" s="1484"/>
      <c r="K124" s="1484"/>
      <c r="L124" s="1484"/>
      <c r="M124" s="1484"/>
      <c r="N124" s="1484"/>
      <c r="O124" s="1484"/>
      <c r="P124" s="2"/>
      <c r="Q124" s="2"/>
      <c r="T124"/>
    </row>
    <row r="125" spans="1:20">
      <c r="T125"/>
    </row>
    <row r="126" spans="1:20">
      <c r="T126"/>
    </row>
    <row r="127" spans="1:20">
      <c r="T127"/>
    </row>
    <row r="128" spans="1:20">
      <c r="T128"/>
    </row>
    <row r="129" spans="20:20">
      <c r="T129"/>
    </row>
    <row r="130" spans="20:20">
      <c r="T130"/>
    </row>
    <row r="131" spans="20:20">
      <c r="T131"/>
    </row>
    <row r="132" spans="20:20">
      <c r="T132"/>
    </row>
    <row r="133" spans="20:20">
      <c r="T133"/>
    </row>
    <row r="134" spans="20:20">
      <c r="T134"/>
    </row>
    <row r="135" spans="20:20">
      <c r="T135"/>
    </row>
    <row r="136" spans="20:20">
      <c r="T136"/>
    </row>
    <row r="137" spans="20:20">
      <c r="T137"/>
    </row>
    <row r="138" spans="20:20">
      <c r="T138"/>
    </row>
    <row r="139" spans="20:20">
      <c r="T139"/>
    </row>
    <row r="140" spans="20:20">
      <c r="T140"/>
    </row>
    <row r="141" spans="20:20">
      <c r="T141"/>
    </row>
    <row r="142" spans="20:20">
      <c r="T142"/>
    </row>
    <row r="143" spans="20:20">
      <c r="T143"/>
    </row>
    <row r="144" spans="20:20">
      <c r="T144"/>
    </row>
    <row r="145" spans="19:20">
      <c r="T145"/>
    </row>
    <row r="146" spans="19:20">
      <c r="T146"/>
    </row>
    <row r="147" spans="19:20">
      <c r="T147"/>
    </row>
    <row r="148" spans="19:20">
      <c r="T148"/>
    </row>
    <row r="149" spans="19:20">
      <c r="T149"/>
    </row>
    <row r="150" spans="19:20">
      <c r="T150"/>
    </row>
    <row r="151" spans="19:20">
      <c r="T151"/>
    </row>
    <row r="152" spans="19:20">
      <c r="T152"/>
    </row>
    <row r="153" spans="19:20">
      <c r="S153" s="1"/>
      <c r="T153"/>
    </row>
    <row r="154" spans="19:20">
      <c r="S154" s="1"/>
      <c r="T154"/>
    </row>
    <row r="155" spans="19:20">
      <c r="S155" s="1"/>
      <c r="T155"/>
    </row>
  </sheetData>
  <mergeCells count="25">
    <mergeCell ref="N37:N38"/>
    <mergeCell ref="F118:P118"/>
    <mergeCell ref="F119:P119"/>
    <mergeCell ref="F120:O124"/>
    <mergeCell ref="A1:B1"/>
    <mergeCell ref="A36:B37"/>
    <mergeCell ref="A38:B38"/>
    <mergeCell ref="H37:J37"/>
    <mergeCell ref="D36:E36"/>
    <mergeCell ref="M36:N36"/>
    <mergeCell ref="M105:N105"/>
    <mergeCell ref="F108:P108"/>
    <mergeCell ref="F109:P109"/>
    <mergeCell ref="F110:P110"/>
    <mergeCell ref="F111:P111"/>
    <mergeCell ref="A39:B39"/>
    <mergeCell ref="H39:J40"/>
    <mergeCell ref="F106:P106"/>
    <mergeCell ref="F107:P107"/>
    <mergeCell ref="F116:P116"/>
    <mergeCell ref="F117:P117"/>
    <mergeCell ref="F112:P112"/>
    <mergeCell ref="F113:P113"/>
    <mergeCell ref="F114:P114"/>
    <mergeCell ref="F115:P115"/>
  </mergeCells>
  <phoneticPr fontId="46" type="noConversion"/>
  <printOptions horizontalCentered="1" verticalCentered="1"/>
  <pageMargins left="0.17" right="0.17" top="0.17" bottom="0.17" header="0" footer="0"/>
  <pageSetup paperSize="9" scale="39" orientation="portrait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99"/>
  </sheetPr>
  <dimension ref="A1:T33"/>
  <sheetViews>
    <sheetView showGridLines="0" zoomScale="150" zoomScaleNormal="150" zoomScalePageLayoutView="150" workbookViewId="0">
      <selection activeCell="L2" sqref="L2"/>
    </sheetView>
  </sheetViews>
  <sheetFormatPr baseColWidth="10" defaultColWidth="10.83203125" defaultRowHeight="13" x14ac:dyDescent="0"/>
  <cols>
    <col min="1" max="16384" width="10.83203125" style="520"/>
  </cols>
  <sheetData>
    <row r="1" spans="1:20" ht="14">
      <c r="A1" s="519"/>
      <c r="B1" s="533" t="s">
        <v>129</v>
      </c>
      <c r="C1" s="528" t="s">
        <v>116</v>
      </c>
      <c r="D1" s="529" t="s">
        <v>117</v>
      </c>
      <c r="E1" s="530" t="s">
        <v>118</v>
      </c>
      <c r="F1" s="531" t="s">
        <v>119</v>
      </c>
      <c r="G1" s="532" t="s">
        <v>128</v>
      </c>
      <c r="H1" s="537" t="s">
        <v>67</v>
      </c>
    </row>
    <row r="2" spans="1:20" ht="14">
      <c r="A2" s="521"/>
      <c r="B2" s="534" t="s">
        <v>120</v>
      </c>
      <c r="C2" s="1088" t="s">
        <v>197</v>
      </c>
      <c r="D2" s="1088" t="s">
        <v>162</v>
      </c>
      <c r="E2" s="1088" t="s">
        <v>163</v>
      </c>
      <c r="F2" s="1088" t="s">
        <v>164</v>
      </c>
      <c r="G2" s="1088" t="s">
        <v>165</v>
      </c>
      <c r="H2" s="538" t="s">
        <v>130</v>
      </c>
    </row>
    <row r="3" spans="1:20" ht="14">
      <c r="A3" s="521" t="s">
        <v>121</v>
      </c>
      <c r="B3" s="1236">
        <v>6.666666666666667</v>
      </c>
      <c r="C3" s="1237">
        <v>6.3</v>
      </c>
      <c r="D3" s="1247">
        <v>7.7777777777777777</v>
      </c>
      <c r="E3" s="1247">
        <v>8.6111111111111107</v>
      </c>
      <c r="F3" s="1247">
        <v>8.5</v>
      </c>
      <c r="G3" s="1247">
        <v>7.4444444444444446</v>
      </c>
      <c r="H3" s="539">
        <f>AVERAGE(C3:G3)</f>
        <v>7.7266666666666666</v>
      </c>
      <c r="I3" s="1499" t="s">
        <v>160</v>
      </c>
      <c r="J3" s="1500"/>
      <c r="K3" s="1500"/>
      <c r="O3" s="1235"/>
      <c r="P3" s="1235"/>
      <c r="Q3" s="1235"/>
      <c r="R3" s="1235"/>
      <c r="S3" s="1235"/>
      <c r="T3" s="1235"/>
    </row>
    <row r="4" spans="1:20" ht="14">
      <c r="A4" s="535" t="s">
        <v>122</v>
      </c>
      <c r="B4" s="1238">
        <v>6.666666666666667</v>
      </c>
      <c r="C4" s="1239">
        <v>7.2</v>
      </c>
      <c r="D4" s="1248">
        <v>7.5</v>
      </c>
      <c r="E4" s="1248">
        <v>7.4444444444444446</v>
      </c>
      <c r="F4" s="1248">
        <v>7.166666666666667</v>
      </c>
      <c r="G4" s="1248">
        <v>7.2777777777777777</v>
      </c>
      <c r="H4" s="539">
        <f t="shared" ref="H4:H8" si="0">AVERAGE(C4:G4)</f>
        <v>7.3177777777777777</v>
      </c>
      <c r="O4" s="1235"/>
      <c r="P4" s="1235"/>
      <c r="Q4" s="1235"/>
      <c r="R4" s="1235"/>
      <c r="S4" s="1235"/>
      <c r="T4" s="1235"/>
    </row>
    <row r="5" spans="1:20" ht="14">
      <c r="A5" s="535" t="s">
        <v>123</v>
      </c>
      <c r="B5" s="1238">
        <v>9.1666666666666661</v>
      </c>
      <c r="C5" s="1239">
        <v>10.3</v>
      </c>
      <c r="D5" s="1248">
        <v>10.888888888888889</v>
      </c>
      <c r="E5" s="1248">
        <v>11.5</v>
      </c>
      <c r="F5" s="1240">
        <v>15.388888888888889</v>
      </c>
      <c r="G5" s="1240">
        <v>12.555555555555555</v>
      </c>
      <c r="H5" s="539">
        <f t="shared" si="0"/>
        <v>12.126666666666669</v>
      </c>
      <c r="M5" s="1503" t="s">
        <v>166</v>
      </c>
      <c r="N5" s="1503"/>
      <c r="O5" s="1235"/>
      <c r="P5" s="1235"/>
      <c r="Q5" s="1235"/>
      <c r="R5" s="1235"/>
      <c r="S5" s="1235"/>
      <c r="T5" s="1235"/>
    </row>
    <row r="6" spans="1:20" ht="14">
      <c r="A6" s="1090" t="s">
        <v>124</v>
      </c>
      <c r="B6" s="1238">
        <v>8.0555555555555554</v>
      </c>
      <c r="C6" s="1241">
        <v>9.5</v>
      </c>
      <c r="D6" s="1249">
        <v>11.055555555555555</v>
      </c>
      <c r="E6" s="1249">
        <v>13.055555555555555</v>
      </c>
      <c r="F6" s="1240">
        <v>14.833333333333334</v>
      </c>
      <c r="G6" s="1240">
        <v>11.777777777777779</v>
      </c>
      <c r="H6" s="539">
        <f t="shared" si="0"/>
        <v>12.044444444444446</v>
      </c>
      <c r="I6" s="1501" t="s">
        <v>161</v>
      </c>
      <c r="J6" s="1502"/>
      <c r="K6" s="1502"/>
      <c r="O6" s="1235"/>
      <c r="P6" s="1235"/>
      <c r="Q6" s="1235"/>
      <c r="R6" s="1235"/>
      <c r="S6" s="1235"/>
      <c r="T6" s="1235"/>
    </row>
    <row r="7" spans="1:20" ht="14">
      <c r="A7" s="1091" t="s">
        <v>125</v>
      </c>
      <c r="B7" s="1238">
        <v>6.9444444444444446</v>
      </c>
      <c r="C7" s="1242">
        <v>6.5</v>
      </c>
      <c r="D7" s="1250">
        <v>9.7777777777777786</v>
      </c>
      <c r="E7" s="1250">
        <v>8.7777777777777786</v>
      </c>
      <c r="F7" s="1240">
        <v>11.888888888888889</v>
      </c>
      <c r="G7" s="1250">
        <v>8.6666666666666661</v>
      </c>
      <c r="H7" s="539">
        <f t="shared" si="0"/>
        <v>9.1222222222222218</v>
      </c>
      <c r="I7" s="1089"/>
      <c r="J7" s="1089"/>
      <c r="K7" s="1089"/>
      <c r="O7" s="1235"/>
      <c r="P7" s="1235"/>
      <c r="Q7" s="1235"/>
      <c r="R7" s="1235"/>
      <c r="S7" s="1235"/>
      <c r="T7" s="1235"/>
    </row>
    <row r="8" spans="1:20" ht="15" thickBot="1">
      <c r="A8" s="522" t="s">
        <v>126</v>
      </c>
      <c r="B8" s="1243">
        <v>6.666666666666667</v>
      </c>
      <c r="C8" s="1244">
        <v>6.3</v>
      </c>
      <c r="D8" s="1251">
        <v>9.8888888888888893</v>
      </c>
      <c r="E8" s="1251">
        <v>4.2777777777777777</v>
      </c>
      <c r="F8" s="1251">
        <v>8.4444444444444446</v>
      </c>
      <c r="G8" s="1251">
        <v>6.5555555555555554</v>
      </c>
      <c r="H8" s="540">
        <f t="shared" si="0"/>
        <v>7.0933333333333337</v>
      </c>
      <c r="O8" s="1235"/>
      <c r="P8" s="1235"/>
      <c r="Q8" s="1235"/>
      <c r="R8" s="1235"/>
      <c r="S8" s="1235"/>
      <c r="T8" s="1235"/>
    </row>
    <row r="9" spans="1:20">
      <c r="B9" s="523"/>
    </row>
    <row r="12" spans="1:20" ht="14">
      <c r="B12" s="524" t="str">
        <f t="shared" ref="B12:H12" si="1">B2</f>
        <v>Ziel</v>
      </c>
      <c r="C12" s="524" t="str">
        <f t="shared" si="1"/>
        <v>20.08. früh</v>
      </c>
      <c r="D12" s="524" t="str">
        <f t="shared" si="1"/>
        <v>30.04. früh</v>
      </c>
      <c r="E12" s="524" t="str">
        <f t="shared" si="1"/>
        <v>03.05. früh</v>
      </c>
      <c r="F12" s="524" t="str">
        <f t="shared" si="1"/>
        <v>11.05. früh</v>
      </c>
      <c r="G12" s="524" t="str">
        <f t="shared" si="1"/>
        <v>17.05. früh</v>
      </c>
      <c r="H12" s="536" t="str">
        <f t="shared" si="1"/>
        <v>Xquer</v>
      </c>
      <c r="I12" s="523" t="s">
        <v>127</v>
      </c>
    </row>
    <row r="13" spans="1:20" ht="14">
      <c r="A13" s="520" t="str">
        <f t="shared" ref="A13:A18" si="2">A3</f>
        <v>vorher</v>
      </c>
      <c r="B13" s="524">
        <f t="shared" ref="B13:B18" si="3">B3</f>
        <v>6.666666666666667</v>
      </c>
      <c r="C13" s="524">
        <f t="shared" ref="C13:H13" si="4">C3-$B13</f>
        <v>-0.36666666666666714</v>
      </c>
      <c r="D13" s="524">
        <f t="shared" si="4"/>
        <v>1.1111111111111107</v>
      </c>
      <c r="E13" s="524">
        <f t="shared" si="4"/>
        <v>1.9444444444444438</v>
      </c>
      <c r="F13" s="524">
        <f t="shared" si="4"/>
        <v>1.833333333333333</v>
      </c>
      <c r="G13" s="524">
        <f t="shared" si="4"/>
        <v>0.77777777777777768</v>
      </c>
      <c r="H13" s="536">
        <f t="shared" si="4"/>
        <v>1.0599999999999996</v>
      </c>
      <c r="I13" s="523">
        <v>0</v>
      </c>
    </row>
    <row r="14" spans="1:20" ht="14">
      <c r="A14" s="520" t="str">
        <f t="shared" si="2"/>
        <v>essen</v>
      </c>
      <c r="B14" s="524">
        <f t="shared" si="3"/>
        <v>6.666666666666667</v>
      </c>
      <c r="C14" s="524">
        <f t="shared" ref="C14:D18" si="5">C4-$B14</f>
        <v>0.53333333333333321</v>
      </c>
      <c r="D14" s="524">
        <f t="shared" si="5"/>
        <v>0.83333333333333304</v>
      </c>
      <c r="E14" s="524">
        <f>E4-$B14</f>
        <v>0.77777777777777768</v>
      </c>
      <c r="F14" s="524">
        <f t="shared" ref="F14:G18" si="6">F4-$B14</f>
        <v>0.5</v>
      </c>
      <c r="G14" s="524">
        <f t="shared" si="6"/>
        <v>0.61111111111111072</v>
      </c>
      <c r="H14" s="536">
        <f>H4-$B14</f>
        <v>0.65111111111111075</v>
      </c>
      <c r="I14" s="523">
        <v>0</v>
      </c>
    </row>
    <row r="15" spans="1:20" ht="14">
      <c r="A15" s="520" t="str">
        <f t="shared" si="2"/>
        <v>1h</v>
      </c>
      <c r="B15" s="524">
        <f t="shared" si="3"/>
        <v>9.1666666666666661</v>
      </c>
      <c r="C15" s="524">
        <f t="shared" si="5"/>
        <v>1.1333333333333346</v>
      </c>
      <c r="D15" s="524">
        <f t="shared" si="5"/>
        <v>1.7222222222222232</v>
      </c>
      <c r="E15" s="524">
        <f>E5-$B15</f>
        <v>2.3333333333333339</v>
      </c>
      <c r="F15" s="524">
        <f t="shared" si="6"/>
        <v>6.2222222222222232</v>
      </c>
      <c r="G15" s="524">
        <f t="shared" si="6"/>
        <v>3.3888888888888893</v>
      </c>
      <c r="H15" s="536">
        <f>H5-$B15</f>
        <v>2.9600000000000026</v>
      </c>
      <c r="I15" s="523">
        <v>0</v>
      </c>
    </row>
    <row r="16" spans="1:20" ht="14">
      <c r="A16" s="520" t="str">
        <f t="shared" si="2"/>
        <v>2h</v>
      </c>
      <c r="B16" s="524">
        <f t="shared" si="3"/>
        <v>8.0555555555555554</v>
      </c>
      <c r="C16" s="524">
        <f t="shared" si="5"/>
        <v>1.4444444444444446</v>
      </c>
      <c r="D16" s="524">
        <f t="shared" si="5"/>
        <v>3</v>
      </c>
      <c r="E16" s="524">
        <f>E6-$B16</f>
        <v>5</v>
      </c>
      <c r="F16" s="524">
        <f t="shared" si="6"/>
        <v>6.7777777777777786</v>
      </c>
      <c r="G16" s="524">
        <f t="shared" si="6"/>
        <v>3.7222222222222232</v>
      </c>
      <c r="H16" s="536">
        <f>H6-$B16</f>
        <v>3.9888888888888907</v>
      </c>
      <c r="I16" s="523">
        <v>0</v>
      </c>
    </row>
    <row r="17" spans="1:15" ht="14">
      <c r="A17" s="520" t="str">
        <f t="shared" si="2"/>
        <v>3h</v>
      </c>
      <c r="B17" s="524">
        <f t="shared" si="3"/>
        <v>6.9444444444444446</v>
      </c>
      <c r="C17" s="524">
        <f t="shared" si="5"/>
        <v>-0.44444444444444464</v>
      </c>
      <c r="D17" s="524">
        <f t="shared" si="5"/>
        <v>2.8333333333333339</v>
      </c>
      <c r="E17" s="524">
        <f>E7-$B17</f>
        <v>1.8333333333333339</v>
      </c>
      <c r="F17" s="524">
        <f t="shared" si="6"/>
        <v>4.9444444444444446</v>
      </c>
      <c r="G17" s="524">
        <f t="shared" si="6"/>
        <v>1.7222222222222214</v>
      </c>
      <c r="H17" s="536">
        <f>H7-$B17</f>
        <v>2.1777777777777771</v>
      </c>
      <c r="I17" s="523">
        <v>0</v>
      </c>
    </row>
    <row r="18" spans="1:15" ht="14">
      <c r="A18" s="520" t="str">
        <f t="shared" si="2"/>
        <v>4h</v>
      </c>
      <c r="B18" s="524">
        <f t="shared" si="3"/>
        <v>6.666666666666667</v>
      </c>
      <c r="C18" s="524">
        <f t="shared" si="5"/>
        <v>-0.36666666666666714</v>
      </c>
      <c r="D18" s="524">
        <f t="shared" si="5"/>
        <v>3.2222222222222223</v>
      </c>
      <c r="E18" s="524">
        <f>E8-$B18</f>
        <v>-2.3888888888888893</v>
      </c>
      <c r="F18" s="524">
        <f t="shared" si="6"/>
        <v>1.7777777777777777</v>
      </c>
      <c r="G18" s="524">
        <f t="shared" si="6"/>
        <v>-0.1111111111111116</v>
      </c>
      <c r="H18" s="536">
        <f>H8-$B18</f>
        <v>0.42666666666666675</v>
      </c>
      <c r="I18" s="523">
        <v>0</v>
      </c>
    </row>
    <row r="26" spans="1:15" ht="14">
      <c r="C26" s="544"/>
      <c r="D26" s="544"/>
      <c r="E26" s="544"/>
      <c r="F26" s="544"/>
      <c r="G26" s="544"/>
      <c r="H26" s="544"/>
      <c r="I26" s="523"/>
      <c r="J26" s="542"/>
    </row>
    <row r="27" spans="1:15" ht="14">
      <c r="C27" s="544"/>
      <c r="D27" s="544"/>
      <c r="E27" s="544"/>
      <c r="F27" s="544"/>
      <c r="G27" s="544"/>
      <c r="H27" s="544"/>
      <c r="I27" s="523"/>
      <c r="J27" s="542"/>
      <c r="K27" s="523"/>
      <c r="M27" s="542"/>
      <c r="N27" s="542"/>
      <c r="O27" s="542"/>
    </row>
    <row r="28" spans="1:15">
      <c r="C28" s="544"/>
      <c r="D28" s="544"/>
      <c r="E28" s="544"/>
      <c r="F28" s="544"/>
      <c r="G28" s="544"/>
      <c r="I28" s="541"/>
      <c r="J28" s="541"/>
      <c r="K28" s="547"/>
      <c r="M28" s="523"/>
      <c r="N28" s="523"/>
      <c r="O28" s="523"/>
    </row>
    <row r="29" spans="1:15">
      <c r="C29" s="544"/>
      <c r="D29" s="544"/>
      <c r="E29" s="544"/>
      <c r="F29" s="544"/>
      <c r="G29" s="544"/>
      <c r="I29" s="541"/>
      <c r="J29" s="541"/>
      <c r="K29" s="547"/>
      <c r="M29" s="523"/>
      <c r="N29" s="523"/>
      <c r="O29" s="523"/>
    </row>
    <row r="30" spans="1:15">
      <c r="C30" s="544"/>
      <c r="D30" s="544"/>
      <c r="E30" s="544"/>
      <c r="F30" s="544"/>
      <c r="G30" s="544"/>
      <c r="I30" s="541"/>
      <c r="J30" s="541"/>
      <c r="K30" s="547"/>
      <c r="M30" s="523"/>
      <c r="N30" s="523"/>
      <c r="O30" s="523"/>
    </row>
    <row r="31" spans="1:15">
      <c r="C31" s="544"/>
      <c r="D31" s="544"/>
      <c r="E31" s="544"/>
      <c r="F31" s="544"/>
      <c r="G31" s="544"/>
      <c r="I31" s="541"/>
      <c r="J31" s="541"/>
      <c r="K31" s="547"/>
      <c r="M31" s="523"/>
      <c r="N31" s="523"/>
      <c r="O31" s="523"/>
    </row>
    <row r="32" spans="1:15">
      <c r="C32" s="544"/>
      <c r="D32" s="544"/>
      <c r="E32" s="544"/>
      <c r="F32" s="544"/>
      <c r="G32" s="544"/>
      <c r="I32" s="541"/>
      <c r="J32" s="541"/>
      <c r="K32" s="547"/>
      <c r="M32" s="523"/>
      <c r="N32" s="523"/>
      <c r="O32" s="523"/>
    </row>
    <row r="33" spans="3:15">
      <c r="C33" s="544"/>
      <c r="D33" s="544"/>
      <c r="E33" s="544"/>
      <c r="F33" s="544"/>
      <c r="G33" s="544"/>
      <c r="I33" s="541"/>
      <c r="J33" s="541"/>
      <c r="K33" s="547"/>
      <c r="M33" s="523"/>
      <c r="N33" s="523"/>
      <c r="O33" s="523"/>
    </row>
  </sheetData>
  <mergeCells count="3">
    <mergeCell ref="I3:K3"/>
    <mergeCell ref="I6:K6"/>
    <mergeCell ref="M5:N5"/>
  </mergeCells>
  <pageMargins left="0.7" right="0.7" top="0.78740157499999996" bottom="0.78740157499999996" header="0.3" footer="0.3"/>
  <pageSetup paperSize="9" orientation="portrait"/>
  <ignoredErrors>
    <ignoredError sqref="H3:H8" formulaRang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1111" enableFormatConditionsCalculation="0">
    <tabColor rgb="FFFFFF00"/>
    <pageSetUpPr fitToPage="1"/>
  </sheetPr>
  <dimension ref="A1:AU155"/>
  <sheetViews>
    <sheetView showGridLines="0" showRowColHeaders="0" workbookViewId="0">
      <selection activeCell="AU41" sqref="AU41"/>
    </sheetView>
  </sheetViews>
  <sheetFormatPr baseColWidth="10" defaultColWidth="4.33203125" defaultRowHeight="18" customHeight="1" x14ac:dyDescent="0"/>
  <cols>
    <col min="1" max="16" width="4.33203125" customWidth="1"/>
    <col min="17" max="17" width="4.33203125" style="1" customWidth="1"/>
    <col min="18" max="37" width="4.33203125" customWidth="1"/>
    <col min="38" max="38" width="5.33203125" customWidth="1"/>
    <col min="39" max="39" width="4.33203125" customWidth="1"/>
    <col min="40" max="40" width="5.83203125" customWidth="1"/>
  </cols>
  <sheetData>
    <row r="1" spans="17:44" ht="18" customHeight="1">
      <c r="Q1"/>
      <c r="AN1" s="390" t="s">
        <v>48</v>
      </c>
      <c r="AO1" s="391"/>
    </row>
    <row r="2" spans="17:44" ht="18" customHeight="1" thickBot="1">
      <c r="Q2"/>
      <c r="AN2" s="1084" t="s">
        <v>193</v>
      </c>
      <c r="AO2" s="392"/>
    </row>
    <row r="3" spans="17:44" ht="18" customHeight="1">
      <c r="Q3"/>
      <c r="AN3" s="348"/>
    </row>
    <row r="4" spans="17:44" ht="18" customHeight="1">
      <c r="Q4"/>
      <c r="AL4" s="301"/>
      <c r="AM4" s="301"/>
      <c r="AN4" s="349"/>
      <c r="AO4" s="301"/>
      <c r="AP4" s="301"/>
    </row>
    <row r="5" spans="17:44" ht="18" customHeight="1">
      <c r="Q5"/>
      <c r="AK5" s="2"/>
      <c r="AL5" s="346"/>
      <c r="AM5" s="338"/>
      <c r="AN5" s="350"/>
      <c r="AO5" s="338"/>
      <c r="AP5" s="338"/>
    </row>
    <row r="6" spans="17:44" ht="18" customHeight="1">
      <c r="Q6"/>
      <c r="AK6" s="974" t="s">
        <v>139</v>
      </c>
      <c r="AL6" s="347" t="str">
        <f>CONCATENATE("n=",'(intern)'!M80)</f>
        <v>n=15</v>
      </c>
      <c r="AM6" s="339" t="s">
        <v>136</v>
      </c>
      <c r="AN6" s="1230">
        <f>'(intern)'!BB137</f>
        <v>0.1134048949296437</v>
      </c>
      <c r="AO6" s="340"/>
      <c r="AP6" s="338"/>
    </row>
    <row r="7" spans="17:44" ht="18" customHeight="1">
      <c r="Q7"/>
      <c r="AK7" s="973"/>
      <c r="AL7" s="347"/>
      <c r="AM7" s="339"/>
      <c r="AN7" s="1231"/>
      <c r="AO7" s="340"/>
      <c r="AP7" s="338"/>
    </row>
    <row r="8" spans="17:44" ht="18" customHeight="1">
      <c r="Q8"/>
      <c r="AK8" s="975" t="s">
        <v>140</v>
      </c>
      <c r="AL8" s="347" t="str">
        <f>CONCATENATE("n=",'(intern)'!M82)</f>
        <v>n=14</v>
      </c>
      <c r="AM8" s="339" t="s">
        <v>136</v>
      </c>
      <c r="AN8" s="1232">
        <f>'(intern)'!BB139</f>
        <v>1.5663631188712528</v>
      </c>
      <c r="AO8" s="340"/>
      <c r="AP8" s="338"/>
    </row>
    <row r="9" spans="17:44" ht="18" customHeight="1">
      <c r="Q9"/>
      <c r="AK9" s="973"/>
      <c r="AL9" s="347"/>
      <c r="AM9" s="339"/>
      <c r="AN9" s="1233"/>
      <c r="AO9" s="340"/>
      <c r="AP9" s="338"/>
      <c r="AR9" s="1083"/>
    </row>
    <row r="10" spans="17:44" ht="18" customHeight="1">
      <c r="Q10"/>
      <c r="AK10" s="976" t="s">
        <v>141</v>
      </c>
      <c r="AL10" s="347" t="str">
        <f>CONCATENATE("n=",'(intern)'!M84)</f>
        <v>n=15</v>
      </c>
      <c r="AM10" s="339" t="s">
        <v>136</v>
      </c>
      <c r="AN10" s="1232">
        <f>'(intern)'!BB141</f>
        <v>1.5175601569954078</v>
      </c>
      <c r="AO10" s="340"/>
      <c r="AP10" s="338"/>
    </row>
    <row r="11" spans="17:44" ht="18" customHeight="1">
      <c r="Q11"/>
      <c r="AK11" s="2"/>
      <c r="AL11" s="346"/>
      <c r="AM11" s="341"/>
      <c r="AN11" s="1099"/>
      <c r="AO11" s="340"/>
      <c r="AP11" s="338"/>
    </row>
    <row r="12" spans="17:44" ht="18" customHeight="1">
      <c r="Q12"/>
      <c r="AK12" s="213"/>
      <c r="AL12" s="344" t="str">
        <f>CONCATENATE("n=",'(intern)'!M92)</f>
        <v>n=128</v>
      </c>
      <c r="AM12" s="344" t="s">
        <v>136</v>
      </c>
      <c r="AN12" s="1098">
        <v>1.8</v>
      </c>
      <c r="AO12" s="343"/>
      <c r="AP12" s="338"/>
    </row>
    <row r="13" spans="17:44" ht="18" customHeight="1">
      <c r="Q13"/>
      <c r="AL13" s="346"/>
      <c r="AM13" s="340"/>
      <c r="AN13" s="342"/>
      <c r="AO13" s="340"/>
      <c r="AP13" s="338"/>
    </row>
    <row r="14" spans="17:44" ht="18" customHeight="1">
      <c r="Q14"/>
      <c r="AL14" s="346"/>
      <c r="AM14" s="340"/>
      <c r="AN14" s="342"/>
      <c r="AO14" s="340"/>
      <c r="AP14" s="338"/>
    </row>
    <row r="15" spans="17:44" ht="18" customHeight="1">
      <c r="Q15"/>
      <c r="AL15" s="346"/>
      <c r="AM15" s="340"/>
      <c r="AN15" s="342"/>
      <c r="AO15" s="340"/>
      <c r="AP15" s="338"/>
    </row>
    <row r="16" spans="17:44" ht="18" customHeight="1">
      <c r="Q16"/>
      <c r="AL16" s="346"/>
      <c r="AM16" s="340"/>
      <c r="AN16" s="342"/>
      <c r="AO16" s="340"/>
      <c r="AP16" s="338"/>
    </row>
    <row r="17" spans="17:47" ht="18" customHeight="1">
      <c r="Q17"/>
      <c r="AL17" s="346"/>
      <c r="AM17" s="340"/>
      <c r="AN17" s="342"/>
      <c r="AO17" s="340"/>
      <c r="AP17" s="338"/>
    </row>
    <row r="18" spans="17:47" ht="18" customHeight="1">
      <c r="Q18"/>
      <c r="AL18" s="346"/>
      <c r="AM18" s="340"/>
      <c r="AN18" s="342"/>
      <c r="AO18" s="340"/>
      <c r="AP18" s="338"/>
    </row>
    <row r="19" spans="17:47" ht="18" customHeight="1">
      <c r="Q19"/>
      <c r="AK19" s="2"/>
      <c r="AL19" s="346"/>
      <c r="AM19" s="340"/>
      <c r="AN19" s="342"/>
      <c r="AO19" s="340"/>
      <c r="AP19" s="338"/>
    </row>
    <row r="20" spans="17:47" ht="18" customHeight="1">
      <c r="Q20"/>
      <c r="AK20" s="977" t="s">
        <v>139</v>
      </c>
      <c r="AL20" s="347" t="str">
        <f>CONCATENATE("n=",'(intern)'!M81)</f>
        <v>n=13</v>
      </c>
      <c r="AM20" s="339" t="s">
        <v>136</v>
      </c>
      <c r="AN20" s="1095">
        <f>'(intern)'!BB138</f>
        <v>1.063790043238664</v>
      </c>
      <c r="AO20" s="345"/>
      <c r="AP20" s="338"/>
    </row>
    <row r="21" spans="17:47" ht="18" customHeight="1">
      <c r="Q21"/>
      <c r="AK21" s="973"/>
      <c r="AL21" s="347"/>
      <c r="AM21" s="339"/>
      <c r="AN21" s="1095"/>
      <c r="AO21" s="345"/>
      <c r="AP21" s="338"/>
    </row>
    <row r="22" spans="17:47" ht="18" customHeight="1">
      <c r="Q22"/>
      <c r="AK22" s="978" t="s">
        <v>140</v>
      </c>
      <c r="AL22" s="347" t="str">
        <f>CONCATENATE("n=",'(intern)'!M83)</f>
        <v>n=12</v>
      </c>
      <c r="AM22" s="339" t="s">
        <v>136</v>
      </c>
      <c r="AN22" s="1095">
        <f>'(intern)'!BB140</f>
        <v>1.9778846488736097</v>
      </c>
      <c r="AO22" s="345"/>
      <c r="AP22" s="338"/>
    </row>
    <row r="23" spans="17:47" ht="18" customHeight="1">
      <c r="Q23"/>
      <c r="AK23" s="973"/>
      <c r="AL23" s="347"/>
      <c r="AM23" s="339"/>
      <c r="AN23" s="1096"/>
      <c r="AO23" s="345"/>
      <c r="AP23" s="338"/>
    </row>
    <row r="24" spans="17:47" ht="18" customHeight="1">
      <c r="Q24"/>
      <c r="AK24" s="979" t="s">
        <v>141</v>
      </c>
      <c r="AL24" s="347" t="str">
        <f>CONCATENATE("n=",'(intern)'!M85)</f>
        <v>n=14</v>
      </c>
      <c r="AM24" s="339" t="s">
        <v>136</v>
      </c>
      <c r="AN24" s="1095">
        <f>'(intern)'!BB142</f>
        <v>2.441087299526012</v>
      </c>
      <c r="AO24" s="345"/>
      <c r="AP24" s="338"/>
    </row>
    <row r="25" spans="17:47" ht="18" customHeight="1">
      <c r="Q25"/>
      <c r="AK25" s="2"/>
      <c r="AL25" s="346"/>
      <c r="AM25" s="341"/>
      <c r="AN25" s="1097"/>
      <c r="AO25" s="338"/>
      <c r="AP25" s="338"/>
    </row>
    <row r="26" spans="17:47" ht="18" customHeight="1">
      <c r="Q26"/>
      <c r="AK26" s="213"/>
      <c r="AL26" s="344" t="str">
        <f>CONCATENATE("n=",'(intern)'!M93)</f>
        <v>n=128</v>
      </c>
      <c r="AM26" s="344" t="s">
        <v>136</v>
      </c>
      <c r="AN26" s="1098">
        <v>1.8</v>
      </c>
      <c r="AO26" s="343"/>
      <c r="AP26" s="1030"/>
      <c r="AQ26" s="544"/>
      <c r="AR26" s="544"/>
      <c r="AS26" s="544"/>
      <c r="AT26" s="544"/>
      <c r="AU26" s="544"/>
    </row>
    <row r="27" spans="17:47" ht="18" customHeight="1">
      <c r="Q27"/>
      <c r="AL27" s="346"/>
      <c r="AM27" s="338"/>
      <c r="AN27" s="351"/>
      <c r="AO27" s="338"/>
      <c r="AP27" s="1030"/>
      <c r="AQ27" s="544"/>
      <c r="AR27" s="544"/>
      <c r="AS27" s="544"/>
      <c r="AT27" s="544"/>
      <c r="AU27" s="544"/>
    </row>
    <row r="28" spans="17:47" ht="18" customHeight="1">
      <c r="Q28"/>
      <c r="AL28" s="346"/>
      <c r="AM28" s="338"/>
      <c r="AN28" s="351"/>
      <c r="AO28" s="338"/>
      <c r="AP28" s="1030"/>
      <c r="AQ28" s="544"/>
      <c r="AR28" s="544"/>
      <c r="AS28" s="544"/>
      <c r="AT28" s="544"/>
      <c r="AU28" s="544"/>
    </row>
    <row r="29" spans="17:47" ht="18" customHeight="1">
      <c r="Q29"/>
      <c r="AL29" s="346"/>
      <c r="AM29" s="338"/>
      <c r="AN29" s="351"/>
      <c r="AO29" s="338"/>
      <c r="AP29" s="1030"/>
      <c r="AQ29" s="544"/>
      <c r="AR29" s="544"/>
      <c r="AS29" s="544"/>
      <c r="AT29" s="544"/>
      <c r="AU29" s="544"/>
    </row>
    <row r="30" spans="17:47" ht="18" customHeight="1">
      <c r="Q30"/>
      <c r="AL30" s="346"/>
      <c r="AM30" s="338"/>
      <c r="AN30" s="351"/>
      <c r="AO30" s="338"/>
      <c r="AP30" s="1030"/>
      <c r="AQ30" s="544"/>
      <c r="AR30" s="544"/>
      <c r="AS30" s="544"/>
      <c r="AT30" s="544"/>
      <c r="AU30" s="544"/>
    </row>
    <row r="31" spans="17:47" ht="18" customHeight="1">
      <c r="Q31"/>
      <c r="AL31" s="346"/>
      <c r="AM31" s="338"/>
      <c r="AN31" s="351"/>
      <c r="AO31" s="338"/>
      <c r="AP31" s="1030"/>
      <c r="AQ31" s="544"/>
      <c r="AR31" s="544"/>
      <c r="AS31" s="544"/>
      <c r="AT31" s="544"/>
      <c r="AU31" s="544"/>
    </row>
    <row r="32" spans="17:47" ht="18" customHeight="1">
      <c r="Q32"/>
      <c r="AL32" s="346"/>
      <c r="AM32" s="338"/>
      <c r="AN32" s="351"/>
      <c r="AO32" s="338"/>
      <c r="AP32" s="1030"/>
      <c r="AQ32" s="544"/>
      <c r="AR32" s="544"/>
      <c r="AS32" s="544"/>
      <c r="AT32" s="544"/>
      <c r="AU32" s="544"/>
    </row>
    <row r="33" spans="17:47" ht="18" customHeight="1">
      <c r="Q33"/>
      <c r="AK33" s="2"/>
      <c r="AL33" s="346"/>
      <c r="AM33" s="338"/>
      <c r="AN33" s="351"/>
      <c r="AO33" s="338"/>
      <c r="AP33" s="1030"/>
      <c r="AQ33" s="544"/>
      <c r="AR33" s="544"/>
      <c r="AS33" s="544"/>
      <c r="AT33" s="544"/>
      <c r="AU33" s="544"/>
    </row>
    <row r="34" spans="17:47" ht="18" customHeight="1">
      <c r="Q34"/>
      <c r="AK34" s="980" t="s">
        <v>144</v>
      </c>
      <c r="AL34" s="347" t="str">
        <f>CONCATENATE("n=",'(intern)'!M86)</f>
        <v>n=14</v>
      </c>
      <c r="AM34" s="339" t="s">
        <v>136</v>
      </c>
      <c r="AN34" s="1094">
        <f>'(intern)'!BB143</f>
        <v>1.6316469411625458</v>
      </c>
      <c r="AO34" s="452"/>
      <c r="AP34" s="1030"/>
      <c r="AQ34" s="544"/>
      <c r="AR34" s="544"/>
      <c r="AS34" s="544"/>
      <c r="AT34" s="544"/>
      <c r="AU34" s="544"/>
    </row>
    <row r="35" spans="17:47" ht="18" customHeight="1">
      <c r="Q35"/>
      <c r="AK35" s="973"/>
      <c r="AL35" s="347"/>
      <c r="AM35" s="339"/>
      <c r="AN35" s="1011"/>
      <c r="AO35" s="452"/>
      <c r="AP35" s="1030"/>
      <c r="AQ35" s="544"/>
      <c r="AR35" s="544"/>
      <c r="AS35" s="544"/>
      <c r="AT35" s="544"/>
      <c r="AU35" s="544"/>
    </row>
    <row r="36" spans="17:47" ht="18" customHeight="1">
      <c r="Q36"/>
      <c r="AK36" s="981" t="s">
        <v>142</v>
      </c>
      <c r="AL36" s="347" t="str">
        <f>CONCATENATE("n=",'(intern)'!M87)</f>
        <v>n=14</v>
      </c>
      <c r="AM36" s="339" t="s">
        <v>136</v>
      </c>
      <c r="AN36" s="1095">
        <f>'(intern)'!BB144</f>
        <v>0.44007698417559321</v>
      </c>
      <c r="AO36" s="452"/>
      <c r="AP36" s="338"/>
    </row>
    <row r="37" spans="17:47" ht="18" customHeight="1">
      <c r="Q37"/>
      <c r="AK37" s="973"/>
      <c r="AL37" s="347"/>
      <c r="AM37" s="339"/>
      <c r="AN37" s="1096"/>
      <c r="AO37" s="452"/>
      <c r="AP37" s="338"/>
      <c r="AR37" s="544"/>
      <c r="AS37" s="544"/>
      <c r="AT37" s="544"/>
    </row>
    <row r="38" spans="17:47" ht="18" customHeight="1">
      <c r="Q38"/>
      <c r="AK38" s="982" t="s">
        <v>143</v>
      </c>
      <c r="AL38" s="347" t="str">
        <f>CONCATENATE("n=",'(intern)'!M88)</f>
        <v>n=11</v>
      </c>
      <c r="AM38" s="339" t="s">
        <v>136</v>
      </c>
      <c r="AN38" s="1096">
        <f>'(intern)'!BB145</f>
        <v>0.11105048851255751</v>
      </c>
      <c r="AO38" s="452"/>
      <c r="AP38" s="338"/>
      <c r="AR38" s="544"/>
      <c r="AS38" s="544"/>
      <c r="AT38" s="544"/>
    </row>
    <row r="39" spans="17:47" ht="18" customHeight="1">
      <c r="Q39"/>
      <c r="AK39" s="2"/>
      <c r="AL39" s="346"/>
      <c r="AM39" s="341"/>
      <c r="AN39" s="1097"/>
      <c r="AO39" s="338"/>
      <c r="AP39" s="338"/>
      <c r="AR39" s="544"/>
      <c r="AS39" s="544"/>
      <c r="AT39" s="544"/>
    </row>
    <row r="40" spans="17:47" ht="18" customHeight="1">
      <c r="Q40"/>
      <c r="AK40" s="213"/>
      <c r="AL40" s="344" t="str">
        <f>CONCATENATE("n=",'(intern)'!M92)</f>
        <v>n=128</v>
      </c>
      <c r="AM40" s="344" t="s">
        <v>136</v>
      </c>
      <c r="AN40" s="1098">
        <v>1.8</v>
      </c>
      <c r="AO40" s="343"/>
      <c r="AP40" s="338"/>
      <c r="AR40" s="544"/>
      <c r="AS40" s="544"/>
      <c r="AT40" s="544"/>
    </row>
    <row r="41" spans="17:47" ht="18" customHeight="1">
      <c r="Q41"/>
      <c r="AL41" s="346"/>
      <c r="AM41" s="338"/>
      <c r="AN41" s="338"/>
      <c r="AO41" s="338"/>
      <c r="AP41" s="338"/>
      <c r="AR41" s="544"/>
      <c r="AS41" s="544"/>
      <c r="AT41" s="544"/>
    </row>
    <row r="42" spans="17:47" ht="18" customHeight="1">
      <c r="Q42"/>
      <c r="AL42" s="346"/>
      <c r="AM42" s="338"/>
      <c r="AN42" s="338"/>
      <c r="AO42" s="338"/>
      <c r="AP42" s="338"/>
      <c r="AR42" s="544"/>
      <c r="AS42" s="544"/>
      <c r="AT42" s="544"/>
    </row>
    <row r="43" spans="17:47" ht="18" customHeight="1">
      <c r="Q43"/>
      <c r="AL43" s="346"/>
      <c r="AM43" s="338"/>
      <c r="AN43" s="338"/>
      <c r="AO43" s="338"/>
      <c r="AP43" s="338"/>
      <c r="AR43" s="544"/>
      <c r="AS43" s="544"/>
      <c r="AT43" s="544"/>
    </row>
    <row r="44" spans="17:47" ht="18" customHeight="1">
      <c r="Q44"/>
      <c r="AL44" s="301"/>
      <c r="AM44" s="301"/>
      <c r="AN44" s="301"/>
      <c r="AO44" s="301"/>
      <c r="AP44" s="301"/>
    </row>
    <row r="45" spans="17:47" ht="18" customHeight="1">
      <c r="Q45"/>
      <c r="AN45" s="1504">
        <f>AVERAGE(AN34:AN38,AN20:AN24,AN6:AN10)</f>
        <v>1.2069849529205874</v>
      </c>
      <c r="AO45" s="1504"/>
    </row>
    <row r="46" spans="17:47" ht="18" customHeight="1">
      <c r="Q46"/>
    </row>
    <row r="47" spans="17:47" ht="18" customHeight="1">
      <c r="Q47"/>
    </row>
    <row r="48" spans="17:47" ht="18" customHeight="1">
      <c r="Q48"/>
    </row>
    <row r="49" spans="1:43" ht="18" customHeight="1">
      <c r="Q49"/>
    </row>
    <row r="50" spans="1:43" ht="18" customHeight="1">
      <c r="Q50"/>
    </row>
    <row r="51" spans="1:43" ht="18" customHeight="1">
      <c r="Q51"/>
      <c r="AQ51" s="106"/>
    </row>
    <row r="52" spans="1:43" ht="18" customHeight="1">
      <c r="Q52"/>
    </row>
    <row r="53" spans="1:43" ht="18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Q53"/>
    </row>
    <row r="54" spans="1:43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Q54"/>
    </row>
    <row r="55" spans="1:43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Q55"/>
    </row>
    <row r="56" spans="1:43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Q56"/>
    </row>
    <row r="57" spans="1:43" ht="18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Q57"/>
    </row>
    <row r="58" spans="1:43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Q58"/>
    </row>
    <row r="59" spans="1:43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Q59"/>
    </row>
    <row r="60" spans="1:43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Q60"/>
    </row>
    <row r="61" spans="1:43" ht="18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Q61"/>
    </row>
    <row r="62" spans="1:43" ht="18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Q62"/>
    </row>
    <row r="63" spans="1:43" ht="18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Q63"/>
    </row>
    <row r="64" spans="1:43" ht="18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Q64"/>
    </row>
    <row r="65" spans="1:22" ht="18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Q65"/>
    </row>
    <row r="66" spans="1:22" ht="18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Q66"/>
    </row>
    <row r="67" spans="1:22" ht="18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Q67"/>
    </row>
    <row r="68" spans="1:22" ht="18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Q68"/>
    </row>
    <row r="69" spans="1:22" ht="18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Q69"/>
    </row>
    <row r="70" spans="1:22" ht="18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Q70"/>
    </row>
    <row r="71" spans="1:22" ht="18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Q71"/>
    </row>
    <row r="72" spans="1:22" ht="18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Q72"/>
    </row>
    <row r="73" spans="1:22" ht="18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Q73"/>
    </row>
    <row r="74" spans="1:22" ht="18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Q74"/>
      <c r="V74" s="948"/>
    </row>
    <row r="75" spans="1:22" ht="18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Q75"/>
    </row>
    <row r="76" spans="1:22" ht="18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Q76"/>
    </row>
    <row r="77" spans="1:22" ht="18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Q77"/>
    </row>
    <row r="78" spans="1:22" ht="18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Q78"/>
    </row>
    <row r="79" spans="1:22" ht="18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Q79"/>
    </row>
    <row r="80" spans="1:22" ht="18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Q80"/>
    </row>
    <row r="81" spans="1:17" ht="18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Q81"/>
    </row>
    <row r="82" spans="1:17" ht="18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Q82"/>
    </row>
    <row r="83" spans="1:17" ht="18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Q83"/>
    </row>
    <row r="84" spans="1:17" ht="18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Q84"/>
    </row>
    <row r="85" spans="1:17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Q85"/>
    </row>
    <row r="86" spans="1:17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Q86"/>
    </row>
    <row r="87" spans="1:17" ht="18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Q87"/>
    </row>
    <row r="88" spans="1:17" ht="18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Q88"/>
    </row>
    <row r="89" spans="1:17" ht="18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Q89"/>
    </row>
    <row r="90" spans="1:17" ht="18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Q90"/>
    </row>
    <row r="91" spans="1:17" ht="18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Q91"/>
    </row>
    <row r="92" spans="1:17" ht="18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Q92"/>
    </row>
    <row r="93" spans="1:17" ht="18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Q93"/>
    </row>
    <row r="94" spans="1:17" ht="18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Q94"/>
    </row>
    <row r="95" spans="1:17" ht="18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Q95"/>
    </row>
    <row r="96" spans="1:17" ht="18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Q96"/>
    </row>
    <row r="97" spans="1:17" ht="18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Q97"/>
    </row>
    <row r="98" spans="1:17" ht="18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Q98"/>
    </row>
    <row r="99" spans="1:17" ht="18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Q99"/>
    </row>
    <row r="100" spans="1:17" ht="18" customHeight="1">
      <c r="Q100"/>
    </row>
    <row r="101" spans="1:17" ht="18" customHeight="1">
      <c r="Q101"/>
    </row>
    <row r="102" spans="1:17" ht="18" customHeight="1">
      <c r="Q102"/>
    </row>
    <row r="103" spans="1:17" ht="18" customHeight="1">
      <c r="Q103"/>
    </row>
    <row r="104" spans="1:17" ht="18" customHeight="1">
      <c r="Q104"/>
    </row>
    <row r="105" spans="1:17" ht="18" customHeight="1">
      <c r="Q105"/>
    </row>
    <row r="106" spans="1:17" ht="18" customHeight="1">
      <c r="Q106"/>
    </row>
    <row r="107" spans="1:17" ht="18" customHeight="1">
      <c r="Q107"/>
    </row>
    <row r="108" spans="1:17" ht="18" customHeight="1">
      <c r="Q108"/>
    </row>
    <row r="109" spans="1:17" ht="18" customHeight="1">
      <c r="Q109"/>
    </row>
    <row r="110" spans="1:17" ht="18" customHeight="1">
      <c r="Q110"/>
    </row>
    <row r="111" spans="1:17" ht="18" customHeight="1">
      <c r="Q111"/>
    </row>
    <row r="112" spans="1:17" ht="18" customHeight="1">
      <c r="Q112"/>
    </row>
    <row r="113" spans="17:17" ht="18" customHeight="1">
      <c r="Q113"/>
    </row>
    <row r="114" spans="17:17" ht="18" customHeight="1">
      <c r="Q114"/>
    </row>
    <row r="115" spans="17:17" ht="18" customHeight="1">
      <c r="Q115"/>
    </row>
    <row r="116" spans="17:17" ht="18" customHeight="1">
      <c r="Q116"/>
    </row>
    <row r="117" spans="17:17" ht="18" customHeight="1">
      <c r="Q117"/>
    </row>
    <row r="118" spans="17:17" ht="18" customHeight="1">
      <c r="Q118"/>
    </row>
    <row r="119" spans="17:17" ht="18" customHeight="1">
      <c r="Q119"/>
    </row>
    <row r="120" spans="17:17" ht="18" customHeight="1">
      <c r="Q120"/>
    </row>
    <row r="121" spans="17:17" ht="18" customHeight="1">
      <c r="Q121"/>
    </row>
    <row r="122" spans="17:17" ht="18" customHeight="1">
      <c r="Q122"/>
    </row>
    <row r="123" spans="17:17" ht="18" customHeight="1">
      <c r="Q123"/>
    </row>
    <row r="124" spans="17:17" ht="18" customHeight="1">
      <c r="Q124"/>
    </row>
    <row r="125" spans="17:17" ht="18" customHeight="1">
      <c r="Q125"/>
    </row>
    <row r="126" spans="17:17" ht="18" customHeight="1">
      <c r="Q126"/>
    </row>
    <row r="127" spans="17:17" ht="18" customHeight="1">
      <c r="Q127"/>
    </row>
    <row r="128" spans="17:17" ht="18" customHeight="1">
      <c r="Q128"/>
    </row>
    <row r="129" spans="17:17" ht="18" customHeight="1">
      <c r="Q129"/>
    </row>
    <row r="130" spans="17:17" ht="18" customHeight="1">
      <c r="Q130"/>
    </row>
    <row r="131" spans="17:17" ht="18" customHeight="1">
      <c r="Q131"/>
    </row>
    <row r="132" spans="17:17" ht="18" customHeight="1">
      <c r="Q132"/>
    </row>
    <row r="133" spans="17:17" ht="18" customHeight="1">
      <c r="Q133"/>
    </row>
    <row r="134" spans="17:17" ht="18" customHeight="1">
      <c r="Q134"/>
    </row>
    <row r="135" spans="17:17" ht="18" customHeight="1">
      <c r="Q135"/>
    </row>
    <row r="136" spans="17:17" ht="18" customHeight="1">
      <c r="Q136"/>
    </row>
    <row r="137" spans="17:17" ht="18" customHeight="1">
      <c r="Q137"/>
    </row>
    <row r="138" spans="17:17" ht="18" customHeight="1">
      <c r="Q138"/>
    </row>
    <row r="139" spans="17:17" ht="18" customHeight="1">
      <c r="Q139"/>
    </row>
    <row r="140" spans="17:17" ht="18" customHeight="1">
      <c r="Q140"/>
    </row>
    <row r="141" spans="17:17" ht="18" customHeight="1">
      <c r="Q141"/>
    </row>
    <row r="142" spans="17:17" ht="18" customHeight="1">
      <c r="Q142"/>
    </row>
    <row r="143" spans="17:17" ht="18" customHeight="1">
      <c r="Q143"/>
    </row>
    <row r="144" spans="17:17" ht="18" customHeight="1">
      <c r="Q144"/>
    </row>
    <row r="145" spans="16:17" ht="18" customHeight="1">
      <c r="Q145"/>
    </row>
    <row r="146" spans="16:17" ht="18" customHeight="1">
      <c r="Q146"/>
    </row>
    <row r="147" spans="16:17" ht="18" customHeight="1">
      <c r="Q147"/>
    </row>
    <row r="148" spans="16:17" ht="18" customHeight="1">
      <c r="Q148"/>
    </row>
    <row r="149" spans="16:17" ht="18" customHeight="1">
      <c r="Q149"/>
    </row>
    <row r="150" spans="16:17" ht="18" customHeight="1">
      <c r="Q150"/>
    </row>
    <row r="151" spans="16:17" ht="18" customHeight="1">
      <c r="Q151"/>
    </row>
    <row r="152" spans="16:17" ht="18" customHeight="1">
      <c r="Q152"/>
    </row>
    <row r="153" spans="16:17" ht="18" customHeight="1">
      <c r="P153" s="1"/>
      <c r="Q153"/>
    </row>
    <row r="154" spans="16:17" ht="18" customHeight="1">
      <c r="P154" s="1"/>
      <c r="Q154"/>
    </row>
    <row r="155" spans="16:17" ht="18" customHeight="1">
      <c r="P155" s="1"/>
      <c r="Q155"/>
    </row>
  </sheetData>
  <mergeCells count="1">
    <mergeCell ref="AN45:AO45"/>
  </mergeCells>
  <pageMargins left="0.55000000000000004" right="0.13" top="0.19" bottom="0.49" header="0.14000000000000001" footer="0.13"/>
  <pageSetup paperSize="9" orientation="portrait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12" zoomScaleNormal="112" zoomScalePageLayoutView="112" workbookViewId="0">
      <selection activeCell="F9" sqref="F9"/>
    </sheetView>
  </sheetViews>
  <sheetFormatPr baseColWidth="10" defaultRowHeight="13" x14ac:dyDescent="0"/>
  <sheetData>
    <row r="1" spans="1:6">
      <c r="A1" s="995"/>
      <c r="B1" s="995"/>
      <c r="C1" s="995"/>
      <c r="D1" s="995"/>
      <c r="E1" s="995"/>
      <c r="F1" s="34"/>
    </row>
    <row r="2" spans="1:6">
      <c r="A2" s="996"/>
      <c r="B2" s="996"/>
      <c r="C2" s="996"/>
      <c r="D2" s="996"/>
      <c r="E2" s="996"/>
      <c r="F2" s="34"/>
    </row>
    <row r="3" spans="1:6">
      <c r="A3" s="997"/>
      <c r="B3" s="998"/>
      <c r="C3" s="999"/>
      <c r="D3" s="997"/>
      <c r="E3" s="1000"/>
      <c r="F3" s="34"/>
    </row>
    <row r="4" spans="1:6">
      <c r="A4" s="999"/>
      <c r="B4" s="999"/>
      <c r="C4" s="999"/>
      <c r="D4" s="997"/>
      <c r="E4" s="1001"/>
      <c r="F4" s="34"/>
    </row>
    <row r="5" spans="1:6">
      <c r="A5" s="1002"/>
      <c r="B5" s="999"/>
      <c r="C5" s="997"/>
      <c r="D5" s="999"/>
      <c r="E5" s="1003"/>
      <c r="F5" s="34"/>
    </row>
    <row r="6" spans="1:6">
      <c r="A6" s="999"/>
      <c r="B6" s="998"/>
      <c r="C6" s="997"/>
      <c r="D6" s="1002"/>
      <c r="E6" s="1001"/>
      <c r="F6" s="34"/>
    </row>
    <row r="7" spans="1:6">
      <c r="A7" s="997"/>
      <c r="B7" s="1004"/>
      <c r="C7" s="1002"/>
      <c r="D7" s="1002"/>
      <c r="E7" s="1003"/>
      <c r="F7" s="34"/>
    </row>
    <row r="8" spans="1:6">
      <c r="A8" s="999"/>
      <c r="B8" s="1005"/>
      <c r="C8" s="999"/>
      <c r="D8" s="1002"/>
      <c r="E8" s="1003"/>
      <c r="F8" s="34"/>
    </row>
    <row r="9" spans="1:6">
      <c r="A9" s="999"/>
      <c r="B9" s="998"/>
      <c r="C9" s="999"/>
      <c r="D9" s="1002"/>
      <c r="E9" s="1003"/>
      <c r="F9" s="34"/>
    </row>
    <row r="10" spans="1:6">
      <c r="A10" s="1002"/>
      <c r="B10" s="998"/>
      <c r="C10" s="999"/>
      <c r="D10" s="1002"/>
      <c r="E10" s="1000"/>
      <c r="F10" s="34"/>
    </row>
    <row r="11" spans="1:6">
      <c r="A11" s="997"/>
      <c r="B11" s="998"/>
      <c r="C11" s="997"/>
      <c r="D11" s="1002"/>
      <c r="E11" s="1006"/>
      <c r="F11" s="34"/>
    </row>
    <row r="12" spans="1:6">
      <c r="A12" s="1007"/>
      <c r="B12" s="1007"/>
      <c r="C12" s="1007"/>
      <c r="D12" s="1007"/>
      <c r="E12" s="1008"/>
      <c r="F12" s="34"/>
    </row>
    <row r="13" spans="1:6">
      <c r="A13" s="1009"/>
      <c r="B13" s="1009"/>
      <c r="C13" s="1009"/>
      <c r="D13" s="1009"/>
      <c r="E13" s="1009"/>
      <c r="F13" s="34"/>
    </row>
    <row r="14" spans="1:6">
      <c r="A14" s="1009"/>
      <c r="B14" s="1009"/>
      <c r="C14" s="1009"/>
      <c r="D14" s="1009"/>
      <c r="E14" s="1009"/>
      <c r="F14" s="34"/>
    </row>
    <row r="15" spans="1:6">
      <c r="A15" s="1010"/>
      <c r="B15" s="1010"/>
      <c r="C15" s="1010"/>
      <c r="D15" s="1010"/>
      <c r="E15" s="1010"/>
      <c r="F15" s="34"/>
    </row>
    <row r="16" spans="1:6">
      <c r="A16" s="34"/>
      <c r="B16" s="34"/>
      <c r="C16" s="34"/>
      <c r="D16" s="34"/>
      <c r="E16" s="34"/>
      <c r="F16" s="34"/>
    </row>
    <row r="17" spans="1:6">
      <c r="A17" s="34"/>
      <c r="B17" s="34"/>
      <c r="C17" s="34"/>
      <c r="D17" s="34"/>
      <c r="E17" s="34"/>
      <c r="F17" s="34"/>
    </row>
  </sheetData>
  <phoneticPr fontId="46" type="noConversion"/>
  <pageMargins left="0.25" right="0.25" top="0.75" bottom="0.75" header="0.3" footer="0.3"/>
  <pageSetup paperSize="9" scale="55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1" enableFormatConditionsCalculation="0">
    <tabColor theme="1" tint="0.14999847407452621"/>
  </sheetPr>
  <dimension ref="A1:BS155"/>
  <sheetViews>
    <sheetView topLeftCell="AP63" zoomScale="125" zoomScaleNormal="125" zoomScalePageLayoutView="125" workbookViewId="0">
      <selection activeCell="AW85" sqref="AW85"/>
    </sheetView>
  </sheetViews>
  <sheetFormatPr baseColWidth="10" defaultRowHeight="13" x14ac:dyDescent="0"/>
  <cols>
    <col min="1" max="56" width="7.83203125" customWidth="1"/>
    <col min="57" max="57" width="7.33203125" customWidth="1"/>
    <col min="58" max="70" width="10.1640625" customWidth="1"/>
  </cols>
  <sheetData>
    <row r="1" spans="1:71">
      <c r="A1" s="1"/>
      <c r="B1" s="78" t="str">
        <f>'IN (mmol|L)'!R18</f>
        <v>I. Quartal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81" t="str">
        <f>'IN (mmol|L)'!R41</f>
        <v>II. Quartal</v>
      </c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84" t="str">
        <f>'IN (mmol|L)'!R64</f>
        <v>III. Quartal</v>
      </c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87" t="str">
        <f>'IN (mmol|L)'!R87</f>
        <v>IV. Quartal</v>
      </c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90" t="s">
        <v>83</v>
      </c>
      <c r="BC1" s="91"/>
      <c r="BD1" s="91"/>
      <c r="BE1" s="92"/>
      <c r="BF1" s="101" t="str">
        <f>'IN (mmol|L)'!R111</f>
        <v>Zwischendurch</v>
      </c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7"/>
    </row>
    <row r="2" spans="1:71">
      <c r="A2" s="1"/>
      <c r="B2" s="79">
        <f>'IN (mmol|L)'!E13</f>
        <v>41274</v>
      </c>
      <c r="C2" s="80" t="str">
        <f>IF(MONTH('IN (mmol|L)'!E13)=MONTH('IN (mmol|L)'!F13),"",'IN (mmol|L)'!F13)</f>
        <v/>
      </c>
      <c r="D2" s="80" t="str">
        <f>IF(MONTH('IN (mmol|L)'!F13)=MONTH('IN (mmol|L)'!G13),"",'IN (mmol|L)'!G13)</f>
        <v/>
      </c>
      <c r="E2" s="80" t="str">
        <f>IF(MONTH('IN (mmol|L)'!G13)=MONTH('IN (mmol|L)'!H13),"",'IN (mmol|L)'!H13)</f>
        <v/>
      </c>
      <c r="F2" s="80" t="str">
        <f>IF(MONTH('IN (mmol|L)'!H13)=MONTH('IN (mmol|L)'!I13),"",'IN (mmol|L)'!I13)</f>
        <v/>
      </c>
      <c r="G2" s="80">
        <f>IF(MONTH('IN (mmol|L)'!I13)=MONTH('IN (mmol|L)'!J13),"",'IN (mmol|L)'!J13)</f>
        <v>41309</v>
      </c>
      <c r="H2" s="80" t="str">
        <f>IF(MONTH('IN (mmol|L)'!J13)=MONTH('IN (mmol|L)'!K13),"",'IN (mmol|L)'!K13)</f>
        <v/>
      </c>
      <c r="I2" s="80" t="str">
        <f>IF(MONTH('IN (mmol|L)'!K13)=MONTH('IN (mmol|L)'!L13),"",'IN (mmol|L)'!L13)</f>
        <v/>
      </c>
      <c r="J2" s="80" t="str">
        <f>IF(MONTH('IN (mmol|L)'!L13)=MONTH('IN (mmol|L)'!M13),"",'IN (mmol|L)'!M13)</f>
        <v/>
      </c>
      <c r="K2" s="80">
        <f>IF(MONTH('IN (mmol|L)'!M13)=MONTH('IN (mmol|L)'!N13),"",'IN (mmol|L)'!N13)</f>
        <v>41337</v>
      </c>
      <c r="L2" s="80" t="str">
        <f>IF(MONTH('IN (mmol|L)'!N13)=MONTH('IN (mmol|L)'!O13),"",'IN (mmol|L)'!O13)</f>
        <v/>
      </c>
      <c r="M2" s="80" t="str">
        <f>IF(MONTH('IN (mmol|L)'!O13)=MONTH('IN (mmol|L)'!P13),"",'IN (mmol|L)'!P13)</f>
        <v/>
      </c>
      <c r="N2" s="80" t="str">
        <f>IF(MONTH('IN (mmol|L)'!P13)=MONTH('IN (mmol|L)'!Q13),"",'IN (mmol|L)'!Q13)</f>
        <v/>
      </c>
      <c r="O2" s="82">
        <f>'IN (mmol|L)'!E36</f>
        <v>41365</v>
      </c>
      <c r="P2" s="83" t="str">
        <f>IF(MONTH('IN (mmol|L)'!E36)=MONTH('IN (mmol|L)'!F36),"",'IN (mmol|L)'!F36)</f>
        <v/>
      </c>
      <c r="Q2" s="83" t="str">
        <f>IF(MONTH('IN (mmol|L)'!F36)=MONTH('IN (mmol|L)'!G36),"",'IN (mmol|L)'!G36)</f>
        <v/>
      </c>
      <c r="R2" s="83" t="str">
        <f>IF(MONTH('IN (mmol|L)'!G36)=MONTH('IN (mmol|L)'!H36),"",'IN (mmol|L)'!H36)</f>
        <v/>
      </c>
      <c r="S2" s="83" t="str">
        <f>IF(MONTH('IN (mmol|L)'!H36)=MONTH('IN (mmol|L)'!I36),"",'IN (mmol|L)'!I36)</f>
        <v/>
      </c>
      <c r="T2" s="83">
        <f>IF(MONTH('IN (mmol|L)'!I36)=MONTH('IN (mmol|L)'!J36),"",'IN (mmol|L)'!J36)</f>
        <v>41400</v>
      </c>
      <c r="U2" s="83" t="str">
        <f>IF(MONTH('IN (mmol|L)'!J36)=MONTH('IN (mmol|L)'!K36),"",'IN (mmol|L)'!K36)</f>
        <v/>
      </c>
      <c r="V2" s="83" t="str">
        <f>IF(MONTH('IN (mmol|L)'!K36)=MONTH('IN (mmol|L)'!L36),"",'IN (mmol|L)'!L36)</f>
        <v/>
      </c>
      <c r="W2" s="83" t="str">
        <f>IF(MONTH('IN (mmol|L)'!L36)=MONTH('IN (mmol|L)'!M36),"",'IN (mmol|L)'!M36)</f>
        <v/>
      </c>
      <c r="X2" s="83">
        <f>IF(MONTH('IN (mmol|L)'!M36)=MONTH('IN (mmol|L)'!N36),"",'IN (mmol|L)'!N36)</f>
        <v>41428</v>
      </c>
      <c r="Y2" s="83" t="str">
        <f>IF(MONTH('IN (mmol|L)'!N36)=MONTH('IN (mmol|L)'!O36),"",'IN (mmol|L)'!O36)</f>
        <v/>
      </c>
      <c r="Z2" s="83" t="str">
        <f>IF(MONTH('IN (mmol|L)'!O36)=MONTH('IN (mmol|L)'!P36),"",'IN (mmol|L)'!P36)</f>
        <v/>
      </c>
      <c r="AA2" s="83" t="str">
        <f>IF(MONTH('IN (mmol|L)'!P36)=MONTH('IN (mmol|L)'!Q36),"",'IN (mmol|L)'!Q36)</f>
        <v/>
      </c>
      <c r="AB2" s="85">
        <f>'IN (mmol|L)'!E59</f>
        <v>41456</v>
      </c>
      <c r="AC2" s="86" t="str">
        <f>IF(MONTH('IN (mmol|L)'!E59)=MONTH('IN (mmol|L)'!F59),"",'IN (mmol|L)'!F59)</f>
        <v/>
      </c>
      <c r="AD2" s="86" t="str">
        <f>IF(MONTH('IN (mmol|L)'!F59)=MONTH('IN (mmol|L)'!G59),"",'IN (mmol|L)'!G59)</f>
        <v/>
      </c>
      <c r="AE2" s="86" t="str">
        <f>IF(MONTH('IN (mmol|L)'!G59)=MONTH('IN (mmol|L)'!H59),"",'IN (mmol|L)'!H59)</f>
        <v/>
      </c>
      <c r="AF2" s="86" t="str">
        <f>IF(MONTH('IN (mmol|L)'!H59)=MONTH('IN (mmol|L)'!I59),"",'IN (mmol|L)'!I59)</f>
        <v/>
      </c>
      <c r="AG2" s="86">
        <f>IF(MONTH('IN (mmol|L)'!I59)=MONTH('IN (mmol|L)'!J59),"",'IN (mmol|L)'!J59)</f>
        <v>41491</v>
      </c>
      <c r="AH2" s="86" t="str">
        <f>IF(MONTH('IN (mmol|L)'!J59)=MONTH('IN (mmol|L)'!K59),"",'IN (mmol|L)'!K59)</f>
        <v/>
      </c>
      <c r="AI2" s="86" t="str">
        <f>IF(MONTH('IN (mmol|L)'!K59)=MONTH('IN (mmol|L)'!L59),"",'IN (mmol|L)'!L59)</f>
        <v/>
      </c>
      <c r="AJ2" s="86" t="str">
        <f>IF(MONTH('IN (mmol|L)'!L59)=MONTH('IN (mmol|L)'!M59),"",'IN (mmol|L)'!M59)</f>
        <v/>
      </c>
      <c r="AK2" s="86">
        <f>IF(MONTH('IN (mmol|L)'!M59)=MONTH('IN (mmol|L)'!N59),"",'IN (mmol|L)'!N59)</f>
        <v>41519</v>
      </c>
      <c r="AL2" s="86" t="str">
        <f>IF(MONTH('IN (mmol|L)'!N59)=MONTH('IN (mmol|L)'!O59),"",'IN (mmol|L)'!O59)</f>
        <v/>
      </c>
      <c r="AM2" s="86" t="str">
        <f>IF(MONTH('IN (mmol|L)'!O59)=MONTH('IN (mmol|L)'!P59),"",'IN (mmol|L)'!P59)</f>
        <v/>
      </c>
      <c r="AN2" s="86" t="str">
        <f>IF(MONTH('IN (mmol|L)'!P59)=MONTH('IN (mmol|L)'!Q59),"",'IN (mmol|L)'!Q59)</f>
        <v/>
      </c>
      <c r="AO2" s="88">
        <f>'IN (mmol|L)'!E82</f>
        <v>41547</v>
      </c>
      <c r="AP2" s="89" t="str">
        <f>IF(MONTH('IN (mmol|L)'!E82)=MONTH('IN (mmol|L)'!F82),"",'IN (mmol|L)'!F82)</f>
        <v/>
      </c>
      <c r="AQ2" s="89" t="str">
        <f>IF(MONTH('IN (mmol|L)'!F82)=MONTH('IN (mmol|L)'!G82),"",'IN (mmol|L)'!G82)</f>
        <v/>
      </c>
      <c r="AR2" s="89" t="str">
        <f>IF(MONTH('IN (mmol|L)'!G82)=MONTH('IN (mmol|L)'!H82),"",'IN (mmol|L)'!H82)</f>
        <v/>
      </c>
      <c r="AS2" s="89" t="str">
        <f>IF(MONTH('IN (mmol|L)'!H82)=MONTH('IN (mmol|L)'!I82),"",'IN (mmol|L)'!I82)</f>
        <v/>
      </c>
      <c r="AT2" s="89">
        <f>IF(MONTH('IN (mmol|L)'!I82)=MONTH('IN (mmol|L)'!J82),"",'IN (mmol|L)'!J82)</f>
        <v>41582</v>
      </c>
      <c r="AU2" s="89" t="str">
        <f>IF(MONTH('IN (mmol|L)'!J82)=MONTH('IN (mmol|L)'!K82),"",'IN (mmol|L)'!K82)</f>
        <v/>
      </c>
      <c r="AV2" s="89" t="str">
        <f>IF(MONTH('IN (mmol|L)'!K82)=MONTH('IN (mmol|L)'!L82),"",'IN (mmol|L)'!L82)</f>
        <v/>
      </c>
      <c r="AW2" s="89" t="str">
        <f>IF(MONTH('IN (mmol|L)'!L82)=MONTH('IN (mmol|L)'!M82),"",'IN (mmol|L)'!M82)</f>
        <v/>
      </c>
      <c r="AX2" s="89">
        <f>IF(MONTH('IN (mmol|L)'!M82)=MONTH('IN (mmol|L)'!N82),"",'IN (mmol|L)'!N82)</f>
        <v>41610</v>
      </c>
      <c r="AY2" s="89" t="str">
        <f>IF(MONTH('IN (mmol|L)'!N82)=MONTH('IN (mmol|L)'!O82),"",'IN (mmol|L)'!O82)</f>
        <v/>
      </c>
      <c r="AZ2" s="89" t="str">
        <f>IF(MONTH('IN (mmol|L)'!O82)=MONTH('IN (mmol|L)'!P82),"",'IN (mmol|L)'!P82)</f>
        <v/>
      </c>
      <c r="BA2" s="89" t="str">
        <f>IF(MONTH('IN (mmol|L)'!P82)=MONTH('IN (mmol|L)'!Q82),"",'IN (mmol|L)'!Q82)</f>
        <v/>
      </c>
      <c r="BB2" s="93" t="str">
        <f>'IN (mmol|L)'!R3</f>
        <v>MW</v>
      </c>
      <c r="BC2" s="94" t="str">
        <f>'IN (mmol|L)'!S3</f>
        <v>Stabw.</v>
      </c>
      <c r="BD2" s="1505" t="str">
        <f>'IN (mmol|L)'!T3</f>
        <v>±1,645σ</v>
      </c>
      <c r="BE2" s="1506"/>
      <c r="BF2" s="98">
        <f>'IN (mmol|L)'!E106</f>
        <v>41274</v>
      </c>
      <c r="BG2" s="99" t="str">
        <f>IF(MONTH('IN (mmol|L)'!E106)=MONTH('IN (mmol|L)'!F106),"",'IN (mmol|L)'!F106)</f>
        <v/>
      </c>
      <c r="BH2" s="99" t="str">
        <f>IF(MONTH('IN (mmol|L)'!F106)=MONTH('IN (mmol|L)'!G106),"",'IN (mmol|L)'!G106)</f>
        <v/>
      </c>
      <c r="BI2" s="99" t="str">
        <f>IF(MONTH('IN (mmol|L)'!G106)=MONTH('IN (mmol|L)'!H106),"",'IN (mmol|L)'!H106)</f>
        <v/>
      </c>
      <c r="BJ2" s="99" t="str">
        <f>IF(MONTH('IN (mmol|L)'!H106)=MONTH('IN (mmol|L)'!I106),"",'IN (mmol|L)'!I106)</f>
        <v/>
      </c>
      <c r="BK2" s="99" t="str">
        <f>IF(MONTH('IN (mmol|L)'!I106)=MONTH('IN (mmol|L)'!J106),"",'IN (mmol|L)'!J106)</f>
        <v/>
      </c>
      <c r="BL2" s="99" t="str">
        <f>IF(MONTH('IN (mmol|L)'!J106)=MONTH('IN (mmol|L)'!K106),"",'IN (mmol|L)'!K106)</f>
        <v/>
      </c>
      <c r="BM2" s="99" t="str">
        <f>IF(MONTH('IN (mmol|L)'!K106)=MONTH('IN (mmol|L)'!L106),"",'IN (mmol|L)'!L106)</f>
        <v/>
      </c>
      <c r="BN2" s="99" t="str">
        <f>IF(MONTH('IN (mmol|L)'!I106)=MONTH('IN (mmol|L)'!M106),"",'IN (mmol|L)'!M106)</f>
        <v/>
      </c>
      <c r="BO2" s="99">
        <f>IF(MONTH('IN (mmol|L)'!J106)=MONTH('IN (mmol|L)'!N106),"",'IN (mmol|L)'!N106)</f>
        <v>41305.5</v>
      </c>
      <c r="BP2" s="99">
        <f>IF(MONTH('IN (mmol|L)'!K106)=MONTH('IN (mmol|L)'!O106),"",'IN (mmol|L)'!O106)</f>
        <v>41312.5</v>
      </c>
      <c r="BQ2" s="99">
        <f>IF(MONTH('IN (mmol|L)'!L106)=MONTH('IN (mmol|L)'!P106),"",'IN (mmol|L)'!P106)</f>
        <v>41319.5</v>
      </c>
      <c r="BR2" s="100" t="str">
        <f>IF(MONTH('IN (mmol|L)'!P106)=MONTH('IN (mmol|L)'!Q106),"",'IN (mmol|L)'!Q106)</f>
        <v/>
      </c>
    </row>
    <row r="3" spans="1:71">
      <c r="A3" s="1" t="s">
        <v>45</v>
      </c>
      <c r="B3" s="252" t="str">
        <f>CONCATENATE("KW ",B66)</f>
        <v>KW 1</v>
      </c>
      <c r="C3" s="253" t="str">
        <f t="shared" ref="C3:N3" si="0">CONCATENATE("KW ",C66)</f>
        <v>KW 2</v>
      </c>
      <c r="D3" s="253" t="str">
        <f t="shared" si="0"/>
        <v>KW 3</v>
      </c>
      <c r="E3" s="253" t="str">
        <f t="shared" si="0"/>
        <v>KW 4</v>
      </c>
      <c r="F3" s="253" t="str">
        <f t="shared" si="0"/>
        <v>KW 5</v>
      </c>
      <c r="G3" s="253" t="str">
        <f t="shared" si="0"/>
        <v>KW 6</v>
      </c>
      <c r="H3" s="253" t="str">
        <f t="shared" si="0"/>
        <v>KW 7</v>
      </c>
      <c r="I3" s="253" t="str">
        <f t="shared" si="0"/>
        <v>KW 8</v>
      </c>
      <c r="J3" s="253" t="str">
        <f t="shared" si="0"/>
        <v>KW 9</v>
      </c>
      <c r="K3" s="253" t="str">
        <f t="shared" si="0"/>
        <v>KW 10</v>
      </c>
      <c r="L3" s="253" t="str">
        <f t="shared" si="0"/>
        <v>KW 11</v>
      </c>
      <c r="M3" s="253" t="str">
        <f t="shared" si="0"/>
        <v>KW 12</v>
      </c>
      <c r="N3" s="254" t="str">
        <f t="shared" si="0"/>
        <v>KW 13</v>
      </c>
      <c r="O3" s="255" t="str">
        <f>CONCATENATE("KW ",O66)</f>
        <v>KW 14</v>
      </c>
      <c r="P3" s="256" t="str">
        <f>CONCATENATE("KW ",P66)</f>
        <v>KW 15</v>
      </c>
      <c r="Q3" s="256" t="str">
        <f t="shared" ref="Q3:BA3" si="1">CONCATENATE("KW ",Q66)</f>
        <v>KW 16</v>
      </c>
      <c r="R3" s="256" t="str">
        <f t="shared" si="1"/>
        <v>KW 17</v>
      </c>
      <c r="S3" s="256" t="str">
        <f t="shared" si="1"/>
        <v>KW 18</v>
      </c>
      <c r="T3" s="256" t="str">
        <f t="shared" si="1"/>
        <v>KW 19</v>
      </c>
      <c r="U3" s="256" t="str">
        <f t="shared" si="1"/>
        <v>KW 20</v>
      </c>
      <c r="V3" s="256" t="str">
        <f t="shared" si="1"/>
        <v>KW 21</v>
      </c>
      <c r="W3" s="256" t="str">
        <f t="shared" si="1"/>
        <v>KW 22</v>
      </c>
      <c r="X3" s="256" t="str">
        <f t="shared" si="1"/>
        <v>KW 23</v>
      </c>
      <c r="Y3" s="256" t="str">
        <f t="shared" si="1"/>
        <v>KW 24</v>
      </c>
      <c r="Z3" s="256" t="str">
        <f t="shared" si="1"/>
        <v>KW 25</v>
      </c>
      <c r="AA3" s="257" t="str">
        <f t="shared" si="1"/>
        <v>KW 26</v>
      </c>
      <c r="AB3" s="259" t="str">
        <f t="shared" si="1"/>
        <v>KW 27</v>
      </c>
      <c r="AC3" s="259" t="str">
        <f t="shared" si="1"/>
        <v>KW 28</v>
      </c>
      <c r="AD3" s="259" t="str">
        <f t="shared" si="1"/>
        <v>KW 29</v>
      </c>
      <c r="AE3" s="259" t="str">
        <f t="shared" si="1"/>
        <v>KW 30</v>
      </c>
      <c r="AF3" s="259" t="str">
        <f t="shared" si="1"/>
        <v>KW 31</v>
      </c>
      <c r="AG3" s="259" t="str">
        <f t="shared" si="1"/>
        <v>KW 32</v>
      </c>
      <c r="AH3" s="259" t="str">
        <f t="shared" si="1"/>
        <v>KW 33</v>
      </c>
      <c r="AI3" s="259" t="str">
        <f t="shared" si="1"/>
        <v>KW 34</v>
      </c>
      <c r="AJ3" s="259" t="str">
        <f t="shared" si="1"/>
        <v>KW 35</v>
      </c>
      <c r="AK3" s="259" t="str">
        <f t="shared" si="1"/>
        <v>KW 36</v>
      </c>
      <c r="AL3" s="259" t="str">
        <f t="shared" si="1"/>
        <v>KW 37</v>
      </c>
      <c r="AM3" s="259" t="str">
        <f t="shared" si="1"/>
        <v>KW 38</v>
      </c>
      <c r="AN3" s="258" t="str">
        <f t="shared" si="1"/>
        <v>KW 39</v>
      </c>
      <c r="AO3" s="265" t="str">
        <f t="shared" si="1"/>
        <v>KW 40</v>
      </c>
      <c r="AP3" s="265" t="str">
        <f t="shared" si="1"/>
        <v>KW 41</v>
      </c>
      <c r="AQ3" s="265" t="str">
        <f t="shared" si="1"/>
        <v>KW 42</v>
      </c>
      <c r="AR3" s="265" t="str">
        <f t="shared" si="1"/>
        <v>KW 43</v>
      </c>
      <c r="AS3" s="265" t="str">
        <f t="shared" si="1"/>
        <v>KW 44</v>
      </c>
      <c r="AT3" s="265" t="str">
        <f t="shared" si="1"/>
        <v>KW 45</v>
      </c>
      <c r="AU3" s="265" t="str">
        <f t="shared" si="1"/>
        <v>KW 46</v>
      </c>
      <c r="AV3" s="265" t="str">
        <f t="shared" si="1"/>
        <v>KW 47</v>
      </c>
      <c r="AW3" s="265" t="str">
        <f t="shared" si="1"/>
        <v>KW 48</v>
      </c>
      <c r="AX3" s="265" t="str">
        <f t="shared" si="1"/>
        <v>KW 49</v>
      </c>
      <c r="AY3" s="265" t="str">
        <f t="shared" si="1"/>
        <v>KW 50</v>
      </c>
      <c r="AZ3" s="265" t="str">
        <f t="shared" si="1"/>
        <v>KW 51</v>
      </c>
      <c r="BA3" s="264" t="str">
        <f t="shared" si="1"/>
        <v>KW 52</v>
      </c>
      <c r="BB3" s="93"/>
      <c r="BC3" s="94"/>
      <c r="BD3" s="93"/>
      <c r="BE3" s="95"/>
      <c r="BF3" s="98" t="str">
        <f>'IN (mmol|L)'!E96</f>
        <v>SO</v>
      </c>
      <c r="BG3" s="99" t="str">
        <f>'IN (mmol|L)'!F96</f>
        <v>MI</v>
      </c>
      <c r="BH3" s="99" t="str">
        <f>'IN (mmol|L)'!G96</f>
        <v>SO</v>
      </c>
      <c r="BI3" s="99" t="str">
        <f>'IN (mmol|L)'!H96</f>
        <v>MI</v>
      </c>
      <c r="BJ3" s="99" t="str">
        <f>'IN (mmol|L)'!I96</f>
        <v>SO</v>
      </c>
      <c r="BK3" s="99" t="str">
        <f>'IN (mmol|L)'!J96</f>
        <v>MI</v>
      </c>
      <c r="BL3" s="99" t="str">
        <f>'IN (mmol|L)'!K96</f>
        <v>SO</v>
      </c>
      <c r="BM3" s="99" t="str">
        <f>'IN (mmol|L)'!L96</f>
        <v>MI</v>
      </c>
      <c r="BN3" s="99" t="str">
        <f>'IN (mmol|L)'!M96</f>
        <v>SO</v>
      </c>
      <c r="BO3" s="99" t="str">
        <f>'IN (mmol|L)'!N96</f>
        <v>MI</v>
      </c>
      <c r="BP3" s="99" t="str">
        <f>'IN (mmol|L)'!O96</f>
        <v>MI</v>
      </c>
      <c r="BQ3" s="99" t="str">
        <f>'IN (mmol|L)'!P96</f>
        <v>MI</v>
      </c>
      <c r="BR3" s="100" t="str">
        <f>'IN (mmol|L)'!Q96</f>
        <v>MI</v>
      </c>
    </row>
    <row r="4" spans="1:71">
      <c r="A4" s="3">
        <f>'IN (mmol|L)'!D4</f>
        <v>0.29166666666666669</v>
      </c>
      <c r="B4" s="1150">
        <f>IF('IN (mmol|L)'!E4="",'IN (mmol|L)'!$R4/'IN (mmol|L)'!$V$18,'IN (mmol|L)'!E4/'IN (mmol|L)'!$V$18)</f>
        <v>6.166666666666667</v>
      </c>
      <c r="C4" s="1151">
        <f>IF('IN (mmol|L)'!F4="",'IN (mmol|L)'!$R4/'IN (mmol|L)'!$V$18,'IN (mmol|L)'!F4/'IN (mmol|L)'!$V$18)</f>
        <v>6.1111111111111107</v>
      </c>
      <c r="D4" s="1151">
        <f>IF('IN (mmol|L)'!G4="",AVERAGE(B4:C4),'IN (mmol|L)'!G4/'IN (mmol|L)'!$V$18)</f>
        <v>6</v>
      </c>
      <c r="E4" s="1151">
        <f>IF('IN (mmol|L)'!H4="",AVERAGE(B4:D4),'IN (mmol|L)'!H4/'IN (mmol|L)'!$V$18)</f>
        <v>6.2222222222222223</v>
      </c>
      <c r="F4" s="1151">
        <f>IF('IN (mmol|L)'!I4="",AVERAGE(C4:E4),'IN (mmol|L)'!I4/'IN (mmol|L)'!$V$18)</f>
        <v>6</v>
      </c>
      <c r="G4" s="1151">
        <f>IF('IN (mmol|L)'!J4="",AVERAGE(D4:F4),'IN (mmol|L)'!J4/'IN (mmol|L)'!$V$18)</f>
        <v>6.2777777777777777</v>
      </c>
      <c r="H4" s="1151">
        <f>IF('IN (mmol|L)'!K4="",AVERAGE(E4:G4),'IN (mmol|L)'!K4/'IN (mmol|L)'!$V$18)</f>
        <v>6.2222222222222223</v>
      </c>
      <c r="I4" s="1151">
        <f>IF('IN (mmol|L)'!L4="",AVERAGE(F4:H4),'IN (mmol|L)'!L4/'IN (mmol|L)'!$V$18)</f>
        <v>6.2</v>
      </c>
      <c r="J4" s="1151">
        <f>IF('IN (mmol|L)'!M4="",AVERAGE(G4:I4),'IN (mmol|L)'!M4/'IN (mmol|L)'!$V$18)</f>
        <v>6.1</v>
      </c>
      <c r="K4" s="1151">
        <f>IF('IN (mmol|L)'!N4="",AVERAGE(H4:J4),'IN (mmol|L)'!N4/'IN (mmol|L)'!$V$18)</f>
        <v>6</v>
      </c>
      <c r="L4" s="1151">
        <f>IF('IN (mmol|L)'!O4="",AVERAGE(I4:K4),'IN (mmol|L)'!O4/'IN (mmol|L)'!$V$18)</f>
        <v>6.2</v>
      </c>
      <c r="M4" s="1151">
        <f>IF('IN (mmol|L)'!P4="",AVERAGE(J4:L4),'IN (mmol|L)'!P4/'IN (mmol|L)'!$V$18)</f>
        <v>6</v>
      </c>
      <c r="N4" s="1151">
        <f>IF('IN (mmol|L)'!Q4="",AVERAGE(K4:M4),'IN (mmol|L)'!Q4/'IN (mmol|L)'!$V$18)</f>
        <v>6.2</v>
      </c>
      <c r="O4" s="1152">
        <f>IF('IN (mmol|L)'!E27="",AVERAGE(L4:N4),'IN (mmol|L)'!E27/'IN (mmol|L)'!$V$41)</f>
        <v>6.2</v>
      </c>
      <c r="P4" s="1153">
        <f>IF('IN (mmol|L)'!F27="",AVERAGE(M4:O4),'IN (mmol|L)'!F27/'IN (mmol|L)'!$V$41)</f>
        <v>5.9</v>
      </c>
      <c r="Q4" s="1153">
        <f>IF('IN (mmol|L)'!G27="",AVERAGE(N4:P4),'IN (mmol|L)'!G27/'IN (mmol|L)'!$V$41)</f>
        <v>6.1000000000000005</v>
      </c>
      <c r="R4" s="1153">
        <f>IF('IN (mmol|L)'!H27="",AVERAGE(O4:Q4),'IN (mmol|L)'!H27/'IN (mmol|L)'!$V$41)</f>
        <v>6.0666666666666673</v>
      </c>
      <c r="S4" s="1153">
        <f>IF('IN (mmol|L)'!I27="",AVERAGE(P4:R4),'IN (mmol|L)'!I27/'IN (mmol|L)'!$V$41)</f>
        <v>6.0222222222222221</v>
      </c>
      <c r="T4" s="1153">
        <f>IF('IN (mmol|L)'!J27="",AVERAGE(Q4:S4),'IN (mmol|L)'!J27/'IN (mmol|L)'!$V$41)</f>
        <v>6.0629629629629633</v>
      </c>
      <c r="U4" s="1153">
        <f>IF('IN (mmol|L)'!K27="",AVERAGE(R4:T4),'IN (mmol|L)'!K27/'IN (mmol|L)'!$V$41)</f>
        <v>6.0506172839506176</v>
      </c>
      <c r="V4" s="1153">
        <f>IF('IN (mmol|L)'!L27="",AVERAGE(S4:U4),'IN (mmol|L)'!L27/'IN (mmol|L)'!$V$41)</f>
        <v>6.0452674897119349</v>
      </c>
      <c r="W4" s="1153">
        <f>IF('IN (mmol|L)'!M27="",AVERAGE(T4:V4),'IN (mmol|L)'!M27/'IN (mmol|L)'!$V$41)</f>
        <v>6.0529492455418392</v>
      </c>
      <c r="X4" s="1153">
        <f>IF('IN (mmol|L)'!N27="",AVERAGE(U4:W4),'IN (mmol|L)'!N27/'IN (mmol|L)'!$V$41)</f>
        <v>6.0496113397347981</v>
      </c>
      <c r="Y4" s="1153">
        <f>IF('IN (mmol|L)'!O27="",AVERAGE(V4:X4),'IN (mmol|L)'!O27/'IN (mmol|L)'!$V$41)</f>
        <v>6.0492760249961917</v>
      </c>
      <c r="Z4" s="1153">
        <f>IF('IN (mmol|L)'!P27="",AVERAGE(W4:Y4),'IN (mmol|L)'!P27/'IN (mmol|L)'!$V$41)</f>
        <v>6.0506122034242766</v>
      </c>
      <c r="AA4" s="1154">
        <f>IF('IN (mmol|L)'!Q27="",AVERAGE(X4:Z4),'IN (mmol|L)'!Q27/'IN (mmol|L)'!$V$41)</f>
        <v>6.0498331893850894</v>
      </c>
      <c r="AB4" s="1155">
        <f>IF('IN (mmol|L)'!E50="",AVERAGE(Y4:AA4),'IN (mmol|L)'!E50/'IN (mmol|L)'!$V$64)</f>
        <v>6.0499071392685195</v>
      </c>
      <c r="AC4" s="1156">
        <f>IF('IN (mmol|L)'!F50="",AVERAGE(Z4:AB4),'IN (mmol|L)'!F50/'IN (mmol|L)'!$V$64)</f>
        <v>6.0501175106926288</v>
      </c>
      <c r="AD4" s="1156">
        <f>IF('IN (mmol|L)'!G50="",AVERAGE(AA4:AC4),'IN (mmol|L)'!G50/'IN (mmol|L)'!$V$64)</f>
        <v>6.0499526131154129</v>
      </c>
      <c r="AE4" s="1156">
        <f>IF('IN (mmol|L)'!H50="",AVERAGE(AB4:AD4),'IN (mmol|L)'!H50/'IN (mmol|L)'!$V$64)</f>
        <v>6.0499924210255207</v>
      </c>
      <c r="AF4" s="1156">
        <f>IF('IN (mmol|L)'!I50="",AVERAGE(AC4:AE4),'IN (mmol|L)'!I50/'IN (mmol|L)'!$V$64)</f>
        <v>6.0500208482778541</v>
      </c>
      <c r="AG4" s="1156">
        <f>IF('IN (mmol|L)'!J50="",AVERAGE(AD4:AF4),'IN (mmol|L)'!J50/'IN (mmol|L)'!$V$64)</f>
        <v>6.0499886274729286</v>
      </c>
      <c r="AH4" s="1156">
        <f>IF('IN (mmol|L)'!K50="",AVERAGE(AE4:AG4),'IN (mmol|L)'!K50/'IN (mmol|L)'!$V$64)</f>
        <v>6.0500006322587678</v>
      </c>
      <c r="AI4" s="1156">
        <f>IF('IN (mmol|L)'!L50="",AVERAGE(AF4:AH4),'IN (mmol|L)'!L50/'IN (mmol|L)'!$V$64)</f>
        <v>6.0500033693365163</v>
      </c>
      <c r="AJ4" s="1156">
        <f>IF('IN (mmol|L)'!M50="",AVERAGE(AG4:AI4),'IN (mmol|L)'!M50/'IN (mmol|L)'!$V$64)</f>
        <v>6.0499975430227373</v>
      </c>
      <c r="AK4" s="1156">
        <f>IF('IN (mmol|L)'!N50="",AVERAGE(AH4:AJ4),'IN (mmol|L)'!N50/'IN (mmol|L)'!$V$64)</f>
        <v>6.0500005148726741</v>
      </c>
      <c r="AL4" s="1156">
        <f>IF('IN (mmol|L)'!O50="",AVERAGE(AI4:AK4),'IN (mmol|L)'!O50/'IN (mmol|L)'!$V$64)</f>
        <v>6.0500004757439756</v>
      </c>
      <c r="AM4" s="1156">
        <f>IF('IN (mmol|L)'!P50="",AVERAGE(AJ4:AL4),'IN (mmol|L)'!P50/'IN (mmol|L)'!$V$64)</f>
        <v>6.0499995112131293</v>
      </c>
      <c r="AN4" s="1157">
        <f>IF('IN (mmol|L)'!Q50="",AVERAGE(AK4:AM4),'IN (mmol|L)'!Q50/'IN (mmol|L)'!$V$64)</f>
        <v>6.0500001672765933</v>
      </c>
      <c r="AO4" s="1158">
        <f>IF('IN (mmol|L)'!E73="",AVERAGE(AL4:AN4),'IN (mmol|L)'!E73/'IN (mmol|L)'!$V$87)</f>
        <v>6.0500000514112324</v>
      </c>
      <c r="AP4" s="1159">
        <f>IF('IN (mmol|L)'!F73="",AVERAGE(AM4:AO4),'IN (mmol|L)'!F73/'IN (mmol|L)'!$V$87)</f>
        <v>6.049999909966985</v>
      </c>
      <c r="AQ4" s="1159">
        <f>IF('IN (mmol|L)'!G73="",AVERAGE(AN4:AP4),'IN (mmol|L)'!G73/'IN (mmol|L)'!$V$87)</f>
        <v>6.0500000428849363</v>
      </c>
      <c r="AR4" s="1159">
        <f>IF('IN (mmol|L)'!H73="",AVERAGE(AO4:AQ4),'IN (mmol|L)'!H73/'IN (mmol|L)'!$V$87)</f>
        <v>6.0500000014210507</v>
      </c>
      <c r="AS4" s="1159">
        <f>IF('IN (mmol|L)'!I73="",AVERAGE(AP4:AR4),'IN (mmol|L)'!I73/'IN (mmol|L)'!$V$87)</f>
        <v>6.0499999847576573</v>
      </c>
      <c r="AT4" s="1159">
        <f>IF('IN (mmol|L)'!J73="",AVERAGE(AQ4:AS4),'IN (mmol|L)'!J73/'IN (mmol|L)'!$V$87)</f>
        <v>6.0500000096878814</v>
      </c>
      <c r="AU4" s="1159">
        <f>IF('IN (mmol|L)'!K73="",AVERAGE(AR4:AT4),'IN (mmol|L)'!K73/'IN (mmol|L)'!$V$87)</f>
        <v>6.0499999986221971</v>
      </c>
      <c r="AV4" s="1159">
        <f>IF('IN (mmol|L)'!L73="",AVERAGE(AS4:AU4),'IN (mmol|L)'!L73/'IN (mmol|L)'!$V$87)</f>
        <v>6.0499999976892456</v>
      </c>
      <c r="AW4" s="1159">
        <f>IF('IN (mmol|L)'!M73="",AVERAGE(AT4:AV4),'IN (mmol|L)'!M73/'IN (mmol|L)'!$V$87)</f>
        <v>6.0500000019997744</v>
      </c>
      <c r="AX4" s="1159">
        <f>IF('IN (mmol|L)'!N73="",AVERAGE(AU4:AW4),'IN (mmol|L)'!N73/'IN (mmol|L)'!$V$87)</f>
        <v>6.0499999994370723</v>
      </c>
      <c r="AY4" s="1159">
        <f>IF('IN (mmol|L)'!O73="",AVERAGE(AV4:AX4),'IN (mmol|L)'!O73/'IN (mmol|L)'!$V$87)</f>
        <v>6.0499999997086968</v>
      </c>
      <c r="AZ4" s="1159">
        <f>IF('IN (mmol|L)'!P73="",AVERAGE(AW4:AY4),'IN (mmol|L)'!P73/'IN (mmol|L)'!$V$87)</f>
        <v>6.0500000003818473</v>
      </c>
      <c r="BA4" s="1160">
        <f>IF('IN (mmol|L)'!Q73="",AVERAGE(AX4:AZ4),'IN (mmol|L)'!Q73/'IN (mmol|L)'!$V$87)</f>
        <v>6.0499999998425382</v>
      </c>
      <c r="BB4" s="1187">
        <f t="shared" ref="BB4:BB12" si="2">AVERAGE($B4:$BA4)</f>
        <v>6.0711538461535577</v>
      </c>
      <c r="BC4" s="1188">
        <f>STDEV($B4:$BA4)</f>
        <v>6.7740877679386607E-2</v>
      </c>
      <c r="BD4" s="1187">
        <f t="shared" ref="BD4:BD12" si="3">BB4-2*BC4</f>
        <v>5.9356720907947844</v>
      </c>
      <c r="BE4" s="1189">
        <f t="shared" ref="BE4:BE12" si="4">BB4+2*BC4</f>
        <v>6.206635601512331</v>
      </c>
      <c r="BF4" s="1193">
        <f>IF('IN (mmol|L)'!E97="",'IN (mmol|L)'!$R97/'IN (mmol|L)'!$V$111,'IN (mmol|L)'!E97/'IN (mmol|L)'!$V$111)</f>
        <v>6.2777777777777777</v>
      </c>
      <c r="BG4" s="1194">
        <f>IF('IN (mmol|L)'!F97="",'IN (mmol|L)'!$R97/'IN (mmol|L)'!$V$111,'IN (mmol|L)'!F97/'IN (mmol|L)'!$V$111)</f>
        <v>6.2222222222222223</v>
      </c>
      <c r="BH4" s="1194">
        <f>IF('IN (mmol|L)'!G97="",AVERAGE(BF4:BG4),'IN (mmol|L)'!G97/'IN (mmol|L)'!$V$111)</f>
        <v>6.2</v>
      </c>
      <c r="BI4" s="1194">
        <f>IF('IN (mmol|L)'!H97="",AVERAGE(BG4:BH4),'IN (mmol|L)'!H97/'IN (mmol|L)'!$V$111)</f>
        <v>6.1</v>
      </c>
      <c r="BJ4" s="1194">
        <f>IF('IN (mmol|L)'!I97="",AVERAGE(BH4:BI4),'IN (mmol|L)'!I97/'IN (mmol|L)'!$V$111)</f>
        <v>6</v>
      </c>
      <c r="BK4" s="1194">
        <f>IF('IN (mmol|L)'!J97="",AVERAGE(BI4:BJ4),'IN (mmol|L)'!J97/'IN (mmol|L)'!$V$111)</f>
        <v>6.2</v>
      </c>
      <c r="BL4" s="1194">
        <f>IF('IN (mmol|L)'!K97="",AVERAGE(BJ4:BK4),'IN (mmol|L)'!K97/'IN (mmol|L)'!$V$111)</f>
        <v>6</v>
      </c>
      <c r="BM4" s="1194">
        <f>IF('IN (mmol|L)'!L97="",AVERAGE(BK4:BL4),'IN (mmol|L)'!L97/'IN (mmol|L)'!$V$111)</f>
        <v>6.2</v>
      </c>
      <c r="BN4" s="1194">
        <f>IF('IN (mmol|L)'!M97="",AVERAGE(BL4:BM4),'IN (mmol|L)'!M97/'IN (mmol|L)'!$V$111)</f>
        <v>6.2</v>
      </c>
      <c r="BO4" s="1194">
        <f>IF('IN (mmol|L)'!N97="",AVERAGE(BM4:BN4),'IN (mmol|L)'!N97/'IN (mmol|L)'!$V$111)</f>
        <v>5.9</v>
      </c>
      <c r="BP4" s="473">
        <f t="shared" ref="BP4:BR12" si="5">TREND($BF4:$BO4,$BF$21:$BO$21,BP$21)</f>
        <v>5.9859932659932724</v>
      </c>
      <c r="BQ4" s="473">
        <f t="shared" si="5"/>
        <v>5.9416835016834852</v>
      </c>
      <c r="BR4" s="473">
        <f t="shared" si="5"/>
        <v>5.8973737373736981</v>
      </c>
    </row>
    <row r="5" spans="1:71">
      <c r="A5" s="3">
        <f>'IN (mmol|L)'!D5</f>
        <v>0.39583333333333331</v>
      </c>
      <c r="B5" s="1150">
        <f>IF('IN (mmol|L)'!E5="",'IN (mmol|L)'!$R5/'IN (mmol|L)'!$V$18,'IN (mmol|L)'!E5/'IN (mmol|L)'!$V$18)</f>
        <v>8.2222222222222214</v>
      </c>
      <c r="C5" s="1151">
        <f>IF('IN (mmol|L)'!F5="",'IN (mmol|L)'!$R5/'IN (mmol|L)'!$V$18,'IN (mmol|L)'!F5/'IN (mmol|L)'!$V$18)</f>
        <v>9.0555555555555554</v>
      </c>
      <c r="D5" s="1151">
        <f>IF('IN (mmol|L)'!G5="",AVERAGE(B5:C5),'IN (mmol|L)'!G5/'IN (mmol|L)'!$V$18)</f>
        <v>10.388888888888889</v>
      </c>
      <c r="E5" s="1151">
        <f>IF('IN (mmol|L)'!H5="",AVERAGE(B5:D5),'IN (mmol|L)'!H5/'IN (mmol|L)'!$V$18)</f>
        <v>10.333333333333334</v>
      </c>
      <c r="F5" s="1151">
        <f>IF('IN (mmol|L)'!I5="",AVERAGE(C5:E5),'IN (mmol|L)'!I5/'IN (mmol|L)'!$V$18)</f>
        <v>10.555555555555555</v>
      </c>
      <c r="G5" s="1151">
        <f>IF('IN (mmol|L)'!J5="",AVERAGE(D5:F5),'IN (mmol|L)'!J5/'IN (mmol|L)'!$V$18)</f>
        <v>12.111111111111111</v>
      </c>
      <c r="H5" s="1151">
        <f>IF('IN (mmol|L)'!K5="",AVERAGE(E5:G5),'IN (mmol|L)'!K5/'IN (mmol|L)'!$V$18)</f>
        <v>9.8888888888888893</v>
      </c>
      <c r="I5" s="1151">
        <f>IF('IN (mmol|L)'!L5="",AVERAGE(F5:H5),'IN (mmol|L)'!L5/'IN (mmol|L)'!$V$18)</f>
        <v>8.1999999999999993</v>
      </c>
      <c r="J5" s="1151">
        <f>IF('IN (mmol|L)'!M5="",AVERAGE(G5:I5),'IN (mmol|L)'!M5/'IN (mmol|L)'!$V$18)</f>
        <v>9.1</v>
      </c>
      <c r="K5" s="1151">
        <f>IF('IN (mmol|L)'!N5="",AVERAGE(H5:J5),'IN (mmol|L)'!N5/'IN (mmol|L)'!$V$18)</f>
        <v>9.0629629629629633</v>
      </c>
      <c r="L5" s="1151">
        <f>IF('IN (mmol|L)'!O5="",AVERAGE(I5:K5),'IN (mmol|L)'!O5/'IN (mmol|L)'!$V$18)</f>
        <v>10.3</v>
      </c>
      <c r="M5" s="1151">
        <f>IF('IN (mmol|L)'!P5="",AVERAGE(J5:L5),'IN (mmol|L)'!P5/'IN (mmol|L)'!$V$18)</f>
        <v>10.5</v>
      </c>
      <c r="N5" s="1151">
        <f>IF('IN (mmol|L)'!Q5="",AVERAGE(K5:M5),'IN (mmol|L)'!Q5/'IN (mmol|L)'!$V$18)</f>
        <v>9.6</v>
      </c>
      <c r="O5" s="1152">
        <f>IF('IN (mmol|L)'!E28="",AVERAGE(L5:N5),'IN (mmol|L)'!E28/'IN (mmol|L)'!$V$41)</f>
        <v>10.133333333333333</v>
      </c>
      <c r="P5" s="1153">
        <f>IF('IN (mmol|L)'!F28="",AVERAGE(M5:O5),'IN (mmol|L)'!F28/'IN (mmol|L)'!$V$41)</f>
        <v>9.4</v>
      </c>
      <c r="Q5" s="1153">
        <f>IF('IN (mmol|L)'!G28="",AVERAGE(N5:P5),'IN (mmol|L)'!G28/'IN (mmol|L)'!$V$41)</f>
        <v>9.7111111111111104</v>
      </c>
      <c r="R5" s="1153">
        <f>IF('IN (mmol|L)'!H28="",AVERAGE(O5:Q5),'IN (mmol|L)'!H28/'IN (mmol|L)'!$V$41)</f>
        <v>9.7481481481481467</v>
      </c>
      <c r="S5" s="1153">
        <f>IF('IN (mmol|L)'!I28="",AVERAGE(P5:R5),'IN (mmol|L)'!I28/'IN (mmol|L)'!$V$41)</f>
        <v>9.6197530864197525</v>
      </c>
      <c r="T5" s="1153">
        <f>IF('IN (mmol|L)'!J28="",AVERAGE(Q5:S5),'IN (mmol|L)'!J28/'IN (mmol|L)'!$V$41)</f>
        <v>9.6930041152263353</v>
      </c>
      <c r="U5" s="1153">
        <f>IF('IN (mmol|L)'!K28="",AVERAGE(R5:T5),'IN (mmol|L)'!K28/'IN (mmol|L)'!$V$41)</f>
        <v>9.6869684499314115</v>
      </c>
      <c r="V5" s="1153">
        <f>IF('IN (mmol|L)'!L28="",AVERAGE(S5:U5),'IN (mmol|L)'!L28/'IN (mmol|L)'!$V$41)</f>
        <v>9.6665752171925003</v>
      </c>
      <c r="W5" s="1153">
        <f>IF('IN (mmol|L)'!M28="",AVERAGE(T5:V5),'IN (mmol|L)'!M28/'IN (mmol|L)'!$V$41)</f>
        <v>9.6821825941167479</v>
      </c>
      <c r="X5" s="1153">
        <f>IF('IN (mmol|L)'!N28="",AVERAGE(U5:W5),'IN (mmol|L)'!N28/'IN (mmol|L)'!$V$41)</f>
        <v>9.6785754204135532</v>
      </c>
      <c r="Y5" s="1153">
        <f>IF('IN (mmol|L)'!O28="",AVERAGE(V5:X5),'IN (mmol|L)'!O28/'IN (mmol|L)'!$V$41)</f>
        <v>9.6757777439076005</v>
      </c>
      <c r="Z5" s="1153">
        <f>IF('IN (mmol|L)'!P28="",AVERAGE(W5:Y5),'IN (mmol|L)'!P28/'IN (mmol|L)'!$V$41)</f>
        <v>9.6788452528126339</v>
      </c>
      <c r="AA5" s="1154">
        <f>IF('IN (mmol|L)'!Q28="",AVERAGE(X5:Z5),'IN (mmol|L)'!Q28/'IN (mmol|L)'!$V$41)</f>
        <v>9.6777328057112637</v>
      </c>
      <c r="AB5" s="1155">
        <f>IF('IN (mmol|L)'!E51="",AVERAGE(Y5:AA5),'IN (mmol|L)'!E51/'IN (mmol|L)'!$V$64)</f>
        <v>9.6774519341438321</v>
      </c>
      <c r="AC5" s="1156">
        <f>IF('IN (mmol|L)'!F51="",AVERAGE(Z5:AB5),'IN (mmol|L)'!F51/'IN (mmol|L)'!$V$64)</f>
        <v>9.6780099975559093</v>
      </c>
      <c r="AD5" s="1156">
        <f>IF('IN (mmol|L)'!G51="",AVERAGE(AA5:AC5),'IN (mmol|L)'!G51/'IN (mmol|L)'!$V$64)</f>
        <v>9.6777315791370029</v>
      </c>
      <c r="AE5" s="1156">
        <f>IF('IN (mmol|L)'!H51="",AVERAGE(AB5:AD5),'IN (mmol|L)'!H51/'IN (mmol|L)'!$V$64)</f>
        <v>9.6777311702789159</v>
      </c>
      <c r="AF5" s="1156">
        <f>IF('IN (mmol|L)'!I51="",AVERAGE(AC5:AE5),'IN (mmol|L)'!I51/'IN (mmol|L)'!$V$64)</f>
        <v>9.6778242489906106</v>
      </c>
      <c r="AG5" s="1156">
        <f>IF('IN (mmol|L)'!J51="",AVERAGE(AD5:AF5),'IN (mmol|L)'!J51/'IN (mmol|L)'!$V$64)</f>
        <v>9.6777623328021765</v>
      </c>
      <c r="AH5" s="1156">
        <f>IF('IN (mmol|L)'!K51="",AVERAGE(AE5:AG5),'IN (mmol|L)'!K51/'IN (mmol|L)'!$V$64)</f>
        <v>9.6777725840239004</v>
      </c>
      <c r="AI5" s="1156">
        <f>IF('IN (mmol|L)'!L51="",AVERAGE(AF5:AH5),'IN (mmol|L)'!L51/'IN (mmol|L)'!$V$64)</f>
        <v>9.6777863886055613</v>
      </c>
      <c r="AJ5" s="1156">
        <f>IF('IN (mmol|L)'!M51="",AVERAGE(AG5:AI5),'IN (mmol|L)'!M51/'IN (mmol|L)'!$V$64)</f>
        <v>9.6777737684772127</v>
      </c>
      <c r="AK5" s="1156">
        <f>IF('IN (mmol|L)'!N51="",AVERAGE(AH5:AJ5),'IN (mmol|L)'!N51/'IN (mmol|L)'!$V$64)</f>
        <v>9.6777775803688915</v>
      </c>
      <c r="AL5" s="1156">
        <f>IF('IN (mmol|L)'!O51="",AVERAGE(AI5:AK5),'IN (mmol|L)'!O51/'IN (mmol|L)'!$V$64)</f>
        <v>9.6777792458172218</v>
      </c>
      <c r="AM5" s="1156">
        <f>IF('IN (mmol|L)'!P51="",AVERAGE(AJ5:AL5),'IN (mmol|L)'!P51/'IN (mmol|L)'!$V$64)</f>
        <v>9.6777768648877753</v>
      </c>
      <c r="AN5" s="1157">
        <f>IF('IN (mmol|L)'!Q51="",AVERAGE(AK5:AM5),'IN (mmol|L)'!Q51/'IN (mmol|L)'!$V$64)</f>
        <v>9.6777778970246295</v>
      </c>
      <c r="AO5" s="1158">
        <f>IF('IN (mmol|L)'!E74="",AVERAGE(AL5:AN5),'IN (mmol|L)'!E74/'IN (mmol|L)'!$V$87)</f>
        <v>9.6777780025765416</v>
      </c>
      <c r="AP5" s="1159">
        <f>IF('IN (mmol|L)'!F74="",AVERAGE(AM5:AO5),'IN (mmol|L)'!F74/'IN (mmol|L)'!$V$87)</f>
        <v>9.6777775881629822</v>
      </c>
      <c r="AQ5" s="1159">
        <f>IF('IN (mmol|L)'!G74="",AVERAGE(AN5:AP5),'IN (mmol|L)'!G74/'IN (mmol|L)'!$V$87)</f>
        <v>9.6777778292547172</v>
      </c>
      <c r="AR5" s="1159">
        <f>IF('IN (mmol|L)'!H74="",AVERAGE(AO5:AQ5),'IN (mmol|L)'!H74/'IN (mmol|L)'!$V$87)</f>
        <v>9.6777778066647482</v>
      </c>
      <c r="AS5" s="1159">
        <f>IF('IN (mmol|L)'!I74="",AVERAGE(AP5:AR5),'IN (mmol|L)'!I74/'IN (mmol|L)'!$V$87)</f>
        <v>9.6777777413608153</v>
      </c>
      <c r="AT5" s="1159">
        <f>IF('IN (mmol|L)'!J74="",AVERAGE(AQ5:AS5),'IN (mmol|L)'!J74/'IN (mmol|L)'!$V$87)</f>
        <v>9.6777777924267596</v>
      </c>
      <c r="AU5" s="1159">
        <f>IF('IN (mmol|L)'!K74="",AVERAGE(AR5:AT5),'IN (mmol|L)'!K74/'IN (mmol|L)'!$V$87)</f>
        <v>9.6777777801507749</v>
      </c>
      <c r="AV5" s="1159">
        <f>IF('IN (mmol|L)'!L74="",AVERAGE(AS5:AU5),'IN (mmol|L)'!L74/'IN (mmol|L)'!$V$87)</f>
        <v>9.6777777713127833</v>
      </c>
      <c r="AW5" s="1159">
        <f>IF('IN (mmol|L)'!M74="",AVERAGE(AT5:AV5),'IN (mmol|L)'!M74/'IN (mmol|L)'!$V$87)</f>
        <v>9.6777777812967738</v>
      </c>
      <c r="AX5" s="1159">
        <f>IF('IN (mmol|L)'!N74="",AVERAGE(AU5:AW5),'IN (mmol|L)'!N74/'IN (mmol|L)'!$V$87)</f>
        <v>9.6777777775867779</v>
      </c>
      <c r="AY5" s="1159">
        <f>IF('IN (mmol|L)'!O74="",AVERAGE(AV5:AX5),'IN (mmol|L)'!O74/'IN (mmol|L)'!$V$87)</f>
        <v>9.6777777767321123</v>
      </c>
      <c r="AZ5" s="1159">
        <f>IF('IN (mmol|L)'!P74="",AVERAGE(AW5:AY5),'IN (mmol|L)'!P74/'IN (mmol|L)'!$V$87)</f>
        <v>9.6777777785385553</v>
      </c>
      <c r="BA5" s="1160">
        <f>IF('IN (mmol|L)'!Q74="",AVERAGE(AX5:AZ5),'IN (mmol|L)'!Q74/'IN (mmol|L)'!$V$87)</f>
        <v>9.6777777776191485</v>
      </c>
      <c r="BB5" s="1187">
        <f t="shared" si="2"/>
        <v>9.7113960113969213</v>
      </c>
      <c r="BC5" s="1188">
        <f t="shared" ref="BC5:BC12" si="6">STDEV($B5:$BA5)</f>
        <v>0.53096540023697625</v>
      </c>
      <c r="BD5" s="1187">
        <f t="shared" si="3"/>
        <v>8.649465210922969</v>
      </c>
      <c r="BE5" s="1189">
        <f t="shared" si="4"/>
        <v>10.773326811870874</v>
      </c>
      <c r="BF5" s="1193">
        <f>IF('IN (mmol|L)'!E98="",'IN (mmol|L)'!$R98/'IN (mmol|L)'!$V$111,'IN (mmol|L)'!E98/'IN (mmol|L)'!$V$111)</f>
        <v>12.111111111111111</v>
      </c>
      <c r="BG5" s="1194">
        <f>IF('IN (mmol|L)'!F98="",'IN (mmol|L)'!$R98/'IN (mmol|L)'!$V$111,'IN (mmol|L)'!F98/'IN (mmol|L)'!$V$111)</f>
        <v>9.8888888888888893</v>
      </c>
      <c r="BH5" s="1194">
        <f>IF('IN (mmol|L)'!G98="",AVERAGE(BF5:BG5),'IN (mmol|L)'!G98/'IN (mmol|L)'!$V$111)</f>
        <v>8.1999999999999993</v>
      </c>
      <c r="BI5" s="1194">
        <f>IF('IN (mmol|L)'!H98="",AVERAGE(BG5:BH5),'IN (mmol|L)'!H98/'IN (mmol|L)'!$V$111)</f>
        <v>9.1</v>
      </c>
      <c r="BJ5" s="1194">
        <f>IF('IN (mmol|L)'!I98="",AVERAGE(BH5:BI5),'IN (mmol|L)'!I98/'IN (mmol|L)'!$V$111)</f>
        <v>8.6499999999999986</v>
      </c>
      <c r="BK5" s="1194">
        <f>IF('IN (mmol|L)'!J98="",AVERAGE(BI5:BJ5),'IN (mmol|L)'!J98/'IN (mmol|L)'!$V$111)</f>
        <v>10.3</v>
      </c>
      <c r="BL5" s="1194">
        <f>IF('IN (mmol|L)'!K98="",AVERAGE(BJ5:BK5),'IN (mmol|L)'!K98/'IN (mmol|L)'!$V$111)</f>
        <v>10.5</v>
      </c>
      <c r="BM5" s="1194">
        <f>IF('IN (mmol|L)'!L98="",AVERAGE(BK5:BL5),'IN (mmol|L)'!L98/'IN (mmol|L)'!$V$111)</f>
        <v>9.6</v>
      </c>
      <c r="BN5" s="1194">
        <f>IF('IN (mmol|L)'!M98="",AVERAGE(BL5:BM5),'IN (mmol|L)'!M98/'IN (mmol|L)'!$V$111)</f>
        <v>10.050000000000001</v>
      </c>
      <c r="BO5" s="1194">
        <f>IF('IN (mmol|L)'!N98="",AVERAGE(BM5:BN5),'IN (mmol|L)'!N98/'IN (mmol|L)'!$V$111)</f>
        <v>9.4</v>
      </c>
      <c r="BP5" s="473">
        <f t="shared" si="5"/>
        <v>9.3694276094275892</v>
      </c>
      <c r="BQ5" s="473">
        <f t="shared" si="5"/>
        <v>9.2430976430975988</v>
      </c>
      <c r="BR5" s="473">
        <f t="shared" si="5"/>
        <v>9.1167676767677222</v>
      </c>
    </row>
    <row r="6" spans="1:71">
      <c r="A6" s="3">
        <f>'IN (mmol|L)'!D6</f>
        <v>0.5</v>
      </c>
      <c r="B6" s="1150">
        <f>IF('IN (mmol|L)'!E6="",'IN (mmol|L)'!$R6/'IN (mmol|L)'!$V$18,'IN (mmol|L)'!E6/'IN (mmol|L)'!$V$18)</f>
        <v>4.7777777777777777</v>
      </c>
      <c r="C6" s="1151">
        <f>IF('IN (mmol|L)'!F6="",'IN (mmol|L)'!$R6/'IN (mmol|L)'!$V$18,'IN (mmol|L)'!F6/'IN (mmol|L)'!$V$18)</f>
        <v>6.7777777777777777</v>
      </c>
      <c r="D6" s="1151">
        <f>IF('IN (mmol|L)'!G6="",AVERAGE(B6:C6),'IN (mmol|L)'!G6/'IN (mmol|L)'!$V$18)</f>
        <v>6.7777777777777777</v>
      </c>
      <c r="E6" s="1151">
        <f>IF('IN (mmol|L)'!H6="",AVERAGE(B6:D6),'IN (mmol|L)'!H6/'IN (mmol|L)'!$V$18)</f>
        <v>8.7777777777777786</v>
      </c>
      <c r="F6" s="1151">
        <f>IF('IN (mmol|L)'!I6="",AVERAGE(C6:E6),'IN (mmol|L)'!I6/'IN (mmol|L)'!$V$18)</f>
        <v>8.7222222222222214</v>
      </c>
      <c r="G6" s="1151">
        <f>IF('IN (mmol|L)'!J6="",AVERAGE(D6:F6),'IN (mmol|L)'!J6/'IN (mmol|L)'!$V$18)</f>
        <v>8.0555555555555554</v>
      </c>
      <c r="H6" s="1151">
        <f>IF('IN (mmol|L)'!K6="",AVERAGE(E6:G6),'IN (mmol|L)'!K6/'IN (mmol|L)'!$V$18)</f>
        <v>6.7777777777777777</v>
      </c>
      <c r="I6" s="1151">
        <f>IF('IN (mmol|L)'!L6="",AVERAGE(F6:H6),'IN (mmol|L)'!L6/'IN (mmol|L)'!$V$18)</f>
        <v>4.8</v>
      </c>
      <c r="J6" s="1151">
        <f>IF('IN (mmol|L)'!M6="",AVERAGE(G6:I6),'IN (mmol|L)'!M6/'IN (mmol|L)'!$V$18)</f>
        <v>6.8</v>
      </c>
      <c r="K6" s="1151">
        <f>IF('IN (mmol|L)'!N6="",AVERAGE(H6:J6),'IN (mmol|L)'!N6/'IN (mmol|L)'!$V$18)</f>
        <v>10.3</v>
      </c>
      <c r="L6" s="1151">
        <f>IF('IN (mmol|L)'!O6="",AVERAGE(I6:K6),'IN (mmol|L)'!O6/'IN (mmol|L)'!$V$18)</f>
        <v>8.1999999999999993</v>
      </c>
      <c r="M6" s="1151">
        <f>IF('IN (mmol|L)'!P6="",AVERAGE(J6:L6),'IN (mmol|L)'!P6/'IN (mmol|L)'!$V$18)</f>
        <v>8.6999999999999993</v>
      </c>
      <c r="N6" s="1151">
        <f>IF('IN (mmol|L)'!Q6="",AVERAGE(K6:M6),'IN (mmol|L)'!Q6/'IN (mmol|L)'!$V$18)</f>
        <v>6</v>
      </c>
      <c r="O6" s="1152">
        <f>IF('IN (mmol|L)'!E29="",AVERAGE(L6:N6),'IN (mmol|L)'!E29/'IN (mmol|L)'!$V$41)</f>
        <v>7.6333333333333329</v>
      </c>
      <c r="P6" s="1153">
        <f>IF('IN (mmol|L)'!F29="",AVERAGE(M6:O6),'IN (mmol|L)'!F29/'IN (mmol|L)'!$V$41)</f>
        <v>7.4</v>
      </c>
      <c r="Q6" s="1153">
        <f>IF('IN (mmol|L)'!G29="",AVERAGE(N6:P6),'IN (mmol|L)'!G29/'IN (mmol|L)'!$V$41)</f>
        <v>7.0111111111111102</v>
      </c>
      <c r="R6" s="1153">
        <f>IF('IN (mmol|L)'!H29="",AVERAGE(O6:Q6),'IN (mmol|L)'!H29/'IN (mmol|L)'!$V$41)</f>
        <v>7.3481481481481481</v>
      </c>
      <c r="S6" s="1153">
        <f>IF('IN (mmol|L)'!I29="",AVERAGE(P6:R6),'IN (mmol|L)'!I29/'IN (mmol|L)'!$V$41)</f>
        <v>7.2530864197530862</v>
      </c>
      <c r="T6" s="1153">
        <f>IF('IN (mmol|L)'!J29="",AVERAGE(Q6:S6),'IN (mmol|L)'!J29/'IN (mmol|L)'!$V$41)</f>
        <v>7.2041152263374473</v>
      </c>
      <c r="U6" s="1153">
        <f>IF('IN (mmol|L)'!K29="",AVERAGE(R6:T6),'IN (mmol|L)'!K29/'IN (mmol|L)'!$V$41)</f>
        <v>7.268449931412893</v>
      </c>
      <c r="V6" s="1153">
        <f>IF('IN (mmol|L)'!L29="",AVERAGE(S6:U6),'IN (mmol|L)'!L29/'IN (mmol|L)'!$V$41)</f>
        <v>7.2418838591678094</v>
      </c>
      <c r="W6" s="1153">
        <f>IF('IN (mmol|L)'!M29="",AVERAGE(T6:V6),'IN (mmol|L)'!M29/'IN (mmol|L)'!$V$41)</f>
        <v>7.2381496723060499</v>
      </c>
      <c r="X6" s="1153">
        <f>IF('IN (mmol|L)'!N29="",AVERAGE(U6:W6),'IN (mmol|L)'!N29/'IN (mmol|L)'!$V$41)</f>
        <v>7.249494487628918</v>
      </c>
      <c r="Y6" s="1153">
        <f>IF('IN (mmol|L)'!O29="",AVERAGE(V6:X6),'IN (mmol|L)'!O29/'IN (mmol|L)'!$V$41)</f>
        <v>7.2431760063675918</v>
      </c>
      <c r="Z6" s="1153">
        <f>IF('IN (mmol|L)'!P29="",AVERAGE(W6:Y6),'IN (mmol|L)'!P29/'IN (mmol|L)'!$V$41)</f>
        <v>7.2436067221008535</v>
      </c>
      <c r="AA6" s="1154">
        <f>IF('IN (mmol|L)'!Q29="",AVERAGE(X6:Z6),'IN (mmol|L)'!Q29/'IN (mmol|L)'!$V$41)</f>
        <v>7.2454257386991214</v>
      </c>
      <c r="AB6" s="1155">
        <f>IF('IN (mmol|L)'!E52="",AVERAGE(Y6:AA6),'IN (mmol|L)'!E52/'IN (mmol|L)'!$V$64)</f>
        <v>7.2440694890558559</v>
      </c>
      <c r="AC6" s="1156">
        <f>IF('IN (mmol|L)'!F52="",AVERAGE(Z6:AB6),'IN (mmol|L)'!F52/'IN (mmol|L)'!$V$64)</f>
        <v>7.2443673166186109</v>
      </c>
      <c r="AD6" s="1156">
        <f>IF('IN (mmol|L)'!G52="",AVERAGE(AA6:AC6),'IN (mmol|L)'!G52/'IN (mmol|L)'!$V$64)</f>
        <v>7.2446208481245291</v>
      </c>
      <c r="AE6" s="1156">
        <f>IF('IN (mmol|L)'!H52="",AVERAGE(AB6:AD6),'IN (mmol|L)'!H52/'IN (mmol|L)'!$V$64)</f>
        <v>7.2443525512663323</v>
      </c>
      <c r="AF6" s="1156">
        <f>IF('IN (mmol|L)'!I52="",AVERAGE(AC6:AE6),'IN (mmol|L)'!I52/'IN (mmol|L)'!$V$64)</f>
        <v>7.244446905336491</v>
      </c>
      <c r="AG6" s="1156">
        <f>IF('IN (mmol|L)'!J52="",AVERAGE(AD6:AF6),'IN (mmol|L)'!J52/'IN (mmol|L)'!$V$64)</f>
        <v>7.2444734349091178</v>
      </c>
      <c r="AH6" s="1156">
        <f>IF('IN (mmol|L)'!K52="",AVERAGE(AE6:AG6),'IN (mmol|L)'!K52/'IN (mmol|L)'!$V$64)</f>
        <v>7.2444242971706467</v>
      </c>
      <c r="AI6" s="1156">
        <f>IF('IN (mmol|L)'!L52="",AVERAGE(AF6:AH6),'IN (mmol|L)'!L52/'IN (mmol|L)'!$V$64)</f>
        <v>7.2444482124720855</v>
      </c>
      <c r="AJ6" s="1156">
        <f>IF('IN (mmol|L)'!M52="",AVERAGE(AG6:AI6),'IN (mmol|L)'!M52/'IN (mmol|L)'!$V$64)</f>
        <v>7.2444486481839503</v>
      </c>
      <c r="AK6" s="1156">
        <f>IF('IN (mmol|L)'!N52="",AVERAGE(AH6:AJ6),'IN (mmol|L)'!N52/'IN (mmol|L)'!$V$64)</f>
        <v>7.2444403859422275</v>
      </c>
      <c r="AL6" s="1156">
        <f>IF('IN (mmol|L)'!O52="",AVERAGE(AI6:AK6),'IN (mmol|L)'!O52/'IN (mmol|L)'!$V$64)</f>
        <v>7.2444457488660881</v>
      </c>
      <c r="AM6" s="1156">
        <f>IF('IN (mmol|L)'!P52="",AVERAGE(AJ6:AL6),'IN (mmol|L)'!P52/'IN (mmol|L)'!$V$64)</f>
        <v>7.2444449276640883</v>
      </c>
      <c r="AN6" s="1157">
        <f>IF('IN (mmol|L)'!Q52="",AVERAGE(AK6:AM6),'IN (mmol|L)'!Q52/'IN (mmol|L)'!$V$64)</f>
        <v>7.2444436874908007</v>
      </c>
      <c r="AO6" s="1158">
        <f>IF('IN (mmol|L)'!E75="",AVERAGE(AL6:AN6),'IN (mmol|L)'!E75/'IN (mmol|L)'!$V$87)</f>
        <v>7.2444447880069918</v>
      </c>
      <c r="AP6" s="1159">
        <f>IF('IN (mmol|L)'!F75="",AVERAGE(AM6:AO6),'IN (mmol|L)'!F75/'IN (mmol|L)'!$V$87)</f>
        <v>7.2444444677206263</v>
      </c>
      <c r="AQ6" s="1159">
        <f>IF('IN (mmol|L)'!G75="",AVERAGE(AN6:AP6),'IN (mmol|L)'!G75/'IN (mmol|L)'!$V$87)</f>
        <v>7.244444314406139</v>
      </c>
      <c r="AR6" s="1159">
        <f>IF('IN (mmol|L)'!H75="",AVERAGE(AO6:AQ6),'IN (mmol|L)'!H75/'IN (mmol|L)'!$V$87)</f>
        <v>7.2444445233779184</v>
      </c>
      <c r="AS6" s="1159">
        <f>IF('IN (mmol|L)'!I75="",AVERAGE(AP6:AR6),'IN (mmol|L)'!I75/'IN (mmol|L)'!$V$87)</f>
        <v>7.2444444351682273</v>
      </c>
      <c r="AT6" s="1159">
        <f>IF('IN (mmol|L)'!J75="",AVERAGE(AQ6:AS6),'IN (mmol|L)'!J75/'IN (mmol|L)'!$V$87)</f>
        <v>7.244444424317428</v>
      </c>
      <c r="AU6" s="1159">
        <f>IF('IN (mmol|L)'!K75="",AVERAGE(AR6:AT6),'IN (mmol|L)'!K75/'IN (mmol|L)'!$V$87)</f>
        <v>7.2444444609545249</v>
      </c>
      <c r="AV6" s="1159">
        <f>IF('IN (mmol|L)'!L75="",AVERAGE(AS6:AU6),'IN (mmol|L)'!L75/'IN (mmol|L)'!$V$87)</f>
        <v>7.2444444401467267</v>
      </c>
      <c r="AW6" s="1159">
        <f>IF('IN (mmol|L)'!M75="",AVERAGE(AT6:AV6),'IN (mmol|L)'!M75/'IN (mmol|L)'!$V$87)</f>
        <v>7.2444444418062268</v>
      </c>
      <c r="AX6" s="1159">
        <f>IF('IN (mmol|L)'!N75="",AVERAGE(AU6:AW6),'IN (mmol|L)'!N75/'IN (mmol|L)'!$V$87)</f>
        <v>7.2444444476358258</v>
      </c>
      <c r="AY6" s="1159">
        <f>IF('IN (mmol|L)'!O75="",AVERAGE(AV6:AX6),'IN (mmol|L)'!O75/'IN (mmol|L)'!$V$87)</f>
        <v>7.2444444431962589</v>
      </c>
      <c r="AZ6" s="1159">
        <f>IF('IN (mmol|L)'!P75="",AVERAGE(AW6:AY6),'IN (mmol|L)'!P75/'IN (mmol|L)'!$V$87)</f>
        <v>7.2444444442127702</v>
      </c>
      <c r="BA6" s="1160">
        <f>IF('IN (mmol|L)'!Q75="",AVERAGE(AX6:AZ6),'IN (mmol|L)'!Q75/'IN (mmol|L)'!$V$87)</f>
        <v>7.2444444450149517</v>
      </c>
      <c r="BB6" s="1187">
        <f t="shared" si="2"/>
        <v>7.2769586894634326</v>
      </c>
      <c r="BC6" s="1188">
        <f t="shared" si="6"/>
        <v>0.79469142234220369</v>
      </c>
      <c r="BD6" s="1187">
        <f t="shared" si="3"/>
        <v>5.6875758447790252</v>
      </c>
      <c r="BE6" s="1189">
        <f t="shared" si="4"/>
        <v>8.8663415341478391</v>
      </c>
      <c r="BF6" s="1193">
        <f>IF('IN (mmol|L)'!E99="",'IN (mmol|L)'!$R99/'IN (mmol|L)'!$V$111,'IN (mmol|L)'!E99/'IN (mmol|L)'!$V$111)</f>
        <v>8.0555555555555554</v>
      </c>
      <c r="BG6" s="1194">
        <f>IF('IN (mmol|L)'!F99="",'IN (mmol|L)'!$R99/'IN (mmol|L)'!$V$111,'IN (mmol|L)'!F99/'IN (mmol|L)'!$V$111)</f>
        <v>6.7777777777777777</v>
      </c>
      <c r="BH6" s="1194">
        <f>IF('IN (mmol|L)'!G99="",AVERAGE(BF6:BG6),'IN (mmol|L)'!G99/'IN (mmol|L)'!$V$111)</f>
        <v>4.8</v>
      </c>
      <c r="BI6" s="1194">
        <f>IF('IN (mmol|L)'!H99="",AVERAGE(BG6:BH6),'IN (mmol|L)'!H99/'IN (mmol|L)'!$V$111)</f>
        <v>6.8</v>
      </c>
      <c r="BJ6" s="1194">
        <f>IF('IN (mmol|L)'!I99="",AVERAGE(BH6:BI6),'IN (mmol|L)'!I99/'IN (mmol|L)'!$V$111)</f>
        <v>10.3</v>
      </c>
      <c r="BK6" s="1194">
        <f>IF('IN (mmol|L)'!J99="",AVERAGE(BI6:BJ6),'IN (mmol|L)'!J99/'IN (mmol|L)'!$V$111)</f>
        <v>8.1999999999999993</v>
      </c>
      <c r="BL6" s="1194">
        <f>IF('IN (mmol|L)'!K99="",AVERAGE(BJ6:BK6),'IN (mmol|L)'!K99/'IN (mmol|L)'!$V$111)</f>
        <v>8.6999999999999993</v>
      </c>
      <c r="BM6" s="1194">
        <f>IF('IN (mmol|L)'!L99="",AVERAGE(BK6:BL6),'IN (mmol|L)'!L99/'IN (mmol|L)'!$V$111)</f>
        <v>6</v>
      </c>
      <c r="BN6" s="1194">
        <f>IF('IN (mmol|L)'!M99="",AVERAGE(BL6:BM6),'IN (mmol|L)'!M99/'IN (mmol|L)'!$V$111)</f>
        <v>7.35</v>
      </c>
      <c r="BO6" s="1194">
        <f>IF('IN (mmol|L)'!N99="",AVERAGE(BM6:BN6),'IN (mmol|L)'!N99/'IN (mmol|L)'!$V$111)</f>
        <v>7.4</v>
      </c>
      <c r="BP6" s="473">
        <f t="shared" si="5"/>
        <v>7.7418855218854787</v>
      </c>
      <c r="BQ6" s="473">
        <f t="shared" si="5"/>
        <v>7.835286195286244</v>
      </c>
      <c r="BR6" s="473">
        <f t="shared" si="5"/>
        <v>7.9286868686868957</v>
      </c>
    </row>
    <row r="7" spans="1:71">
      <c r="A7" s="3">
        <f>'IN (mmol|L)'!D7</f>
        <v>0.60416666666666663</v>
      </c>
      <c r="B7" s="1150">
        <f>IF('IN (mmol|L)'!E7="",'IN (mmol|L)'!$R7/'IN (mmol|L)'!$V$18,'IN (mmol|L)'!E7/'IN (mmol|L)'!$V$18)</f>
        <v>10.611111111111111</v>
      </c>
      <c r="C7" s="1151">
        <f>IF('IN (mmol|L)'!F7="",'IN (mmol|L)'!$R7/'IN (mmol|L)'!$V$18,'IN (mmol|L)'!F7/'IN (mmol|L)'!$V$18)</f>
        <v>6.2222222222222223</v>
      </c>
      <c r="D7" s="1151">
        <f>IF('IN (mmol|L)'!G7="",AVERAGE(B7:C7),'IN (mmol|L)'!G7/'IN (mmol|L)'!$V$18)</f>
        <v>6.3888888888888893</v>
      </c>
      <c r="E7" s="1151">
        <f>IF('IN (mmol|L)'!H7="",AVERAGE(B7:D7),'IN (mmol|L)'!H7/'IN (mmol|L)'!$V$18)</f>
        <v>5.3888888888888893</v>
      </c>
      <c r="F7" s="1151">
        <f>IF('IN (mmol|L)'!I7="",AVERAGE(C7:E7),'IN (mmol|L)'!I7/'IN (mmol|L)'!$V$18)</f>
        <v>6</v>
      </c>
      <c r="G7" s="1151">
        <f>IF('IN (mmol|L)'!J7="",AVERAGE(D7:F7),'IN (mmol|L)'!J7/'IN (mmol|L)'!$V$18)</f>
        <v>7.0555555555555554</v>
      </c>
      <c r="H7" s="1151">
        <f>IF('IN (mmol|L)'!K7="",AVERAGE(E7:G7),'IN (mmol|L)'!K7/'IN (mmol|L)'!$V$18)</f>
        <v>8.7222222222222214</v>
      </c>
      <c r="I7" s="1151">
        <f>IF('IN (mmol|L)'!L7="",AVERAGE(F7:H7),'IN (mmol|L)'!L7/'IN (mmol|L)'!$V$18)</f>
        <v>10.6</v>
      </c>
      <c r="J7" s="1151">
        <f>IF('IN (mmol|L)'!M7="",AVERAGE(G7:I7),'IN (mmol|L)'!M7/'IN (mmol|L)'!$V$18)</f>
        <v>6.2</v>
      </c>
      <c r="K7" s="1151">
        <f>IF('IN (mmol|L)'!N7="",AVERAGE(H7:J7),'IN (mmol|L)'!N7/'IN (mmol|L)'!$V$18)</f>
        <v>6.8</v>
      </c>
      <c r="L7" s="1151">
        <f>IF('IN (mmol|L)'!O7="",AVERAGE(I7:K7),'IN (mmol|L)'!O7/'IN (mmol|L)'!$V$18)</f>
        <v>5.4</v>
      </c>
      <c r="M7" s="1151">
        <f>IF('IN (mmol|L)'!P7="",AVERAGE(J7:L7),'IN (mmol|L)'!P7/'IN (mmol|L)'!$V$18)</f>
        <v>6.1333333333333329</v>
      </c>
      <c r="N7" s="1151">
        <f>IF('IN (mmol|L)'!Q7="",AVERAGE(K7:M7),'IN (mmol|L)'!Q7/'IN (mmol|L)'!$V$18)</f>
        <v>4.5</v>
      </c>
      <c r="O7" s="1152">
        <f>IF('IN (mmol|L)'!E30="",AVERAGE(L7:N7),'IN (mmol|L)'!E30/'IN (mmol|L)'!$V$41)</f>
        <v>5.3444444444444441</v>
      </c>
      <c r="P7" s="1153">
        <f>IF('IN (mmol|L)'!F30="",AVERAGE(M7:O7),'IN (mmol|L)'!F30/'IN (mmol|L)'!$V$41)</f>
        <v>6</v>
      </c>
      <c r="Q7" s="1153">
        <f>IF('IN (mmol|L)'!G30="",AVERAGE(N7:P7),'IN (mmol|L)'!G30/'IN (mmol|L)'!$V$41)</f>
        <v>5.2814814814814817</v>
      </c>
      <c r="R7" s="1153">
        <f>IF('IN (mmol|L)'!H30="",AVERAGE(O7:Q7),'IN (mmol|L)'!H30/'IN (mmol|L)'!$V$41)</f>
        <v>5.5419753086419759</v>
      </c>
      <c r="S7" s="1153">
        <f>IF('IN (mmol|L)'!I30="",AVERAGE(P7:R7),'IN (mmol|L)'!I30/'IN (mmol|L)'!$V$41)</f>
        <v>5.6078189300411525</v>
      </c>
      <c r="T7" s="1153">
        <f>IF('IN (mmol|L)'!J30="",AVERAGE(Q7:S7),'IN (mmol|L)'!J30/'IN (mmol|L)'!$V$41)</f>
        <v>5.4770919067215367</v>
      </c>
      <c r="U7" s="1153">
        <f>IF('IN (mmol|L)'!K30="",AVERAGE(R7:T7),'IN (mmol|L)'!K30/'IN (mmol|L)'!$V$41)</f>
        <v>5.542295381801555</v>
      </c>
      <c r="V7" s="1153">
        <f>IF('IN (mmol|L)'!L30="",AVERAGE(S7:U7),'IN (mmol|L)'!L30/'IN (mmol|L)'!$V$41)</f>
        <v>5.5424020728547481</v>
      </c>
      <c r="W7" s="1153">
        <f>IF('IN (mmol|L)'!M30="",AVERAGE(T7:V7),'IN (mmol|L)'!M30/'IN (mmol|L)'!$V$41)</f>
        <v>5.5205964537926135</v>
      </c>
      <c r="X7" s="1153">
        <f>IF('IN (mmol|L)'!N30="",AVERAGE(U7:W7),'IN (mmol|L)'!N30/'IN (mmol|L)'!$V$41)</f>
        <v>5.5350979694829725</v>
      </c>
      <c r="Y7" s="1153">
        <f>IF('IN (mmol|L)'!O30="",AVERAGE(V7:X7),'IN (mmol|L)'!O30/'IN (mmol|L)'!$V$41)</f>
        <v>5.5326988320434447</v>
      </c>
      <c r="Z7" s="1153">
        <f>IF('IN (mmol|L)'!P30="",AVERAGE(W7:Y7),'IN (mmol|L)'!P30/'IN (mmol|L)'!$V$41)</f>
        <v>5.5294644184396766</v>
      </c>
      <c r="AA7" s="1154">
        <f>IF('IN (mmol|L)'!Q30="",AVERAGE(X7:Z7),'IN (mmol|L)'!Q30/'IN (mmol|L)'!$V$41)</f>
        <v>5.5324204066553646</v>
      </c>
      <c r="AB7" s="1155">
        <f>IF('IN (mmol|L)'!E53="",AVERAGE(Y7:AA7),'IN (mmol|L)'!E53/'IN (mmol|L)'!$V$64)</f>
        <v>5.5315278857128289</v>
      </c>
      <c r="AC7" s="1156">
        <f>IF('IN (mmol|L)'!F53="",AVERAGE(Z7:AB7),'IN (mmol|L)'!F53/'IN (mmol|L)'!$V$64)</f>
        <v>5.5311375702692906</v>
      </c>
      <c r="AD7" s="1156">
        <f>IF('IN (mmol|L)'!G53="",AVERAGE(AA7:AC7),'IN (mmol|L)'!G53/'IN (mmol|L)'!$V$64)</f>
        <v>5.5316952875458272</v>
      </c>
      <c r="AE7" s="1156">
        <f>IF('IN (mmol|L)'!H53="",AVERAGE(AB7:AD7),'IN (mmol|L)'!H53/'IN (mmol|L)'!$V$64)</f>
        <v>5.531453581175982</v>
      </c>
      <c r="AF7" s="1156">
        <f>IF('IN (mmol|L)'!I53="",AVERAGE(AC7:AE7),'IN (mmol|L)'!I53/'IN (mmol|L)'!$V$64)</f>
        <v>5.5314288129970324</v>
      </c>
      <c r="AG7" s="1156">
        <f>IF('IN (mmol|L)'!J53="",AVERAGE(AD7:AF7),'IN (mmol|L)'!J53/'IN (mmol|L)'!$V$64)</f>
        <v>5.5315258939062808</v>
      </c>
      <c r="AH7" s="1156">
        <f>IF('IN (mmol|L)'!K53="",AVERAGE(AE7:AG7),'IN (mmol|L)'!K53/'IN (mmol|L)'!$V$64)</f>
        <v>5.5314694293597642</v>
      </c>
      <c r="AI7" s="1156">
        <f>IF('IN (mmol|L)'!L53="",AVERAGE(AF7:AH7),'IN (mmol|L)'!L53/'IN (mmol|L)'!$V$64)</f>
        <v>5.5314747120876921</v>
      </c>
      <c r="AJ7" s="1156">
        <f>IF('IN (mmol|L)'!M53="",AVERAGE(AG7:AI7),'IN (mmol|L)'!M53/'IN (mmol|L)'!$V$64)</f>
        <v>5.5314900117845793</v>
      </c>
      <c r="AK7" s="1156">
        <f>IF('IN (mmol|L)'!N53="",AVERAGE(AH7:AJ7),'IN (mmol|L)'!N53/'IN (mmol|L)'!$V$64)</f>
        <v>5.5314780510773458</v>
      </c>
      <c r="AL7" s="1156">
        <f>IF('IN (mmol|L)'!O53="",AVERAGE(AI7:AK7),'IN (mmol|L)'!O53/'IN (mmol|L)'!$V$64)</f>
        <v>5.5314809249832058</v>
      </c>
      <c r="AM7" s="1156">
        <f>IF('IN (mmol|L)'!P53="",AVERAGE(AJ7:AL7),'IN (mmol|L)'!P53/'IN (mmol|L)'!$V$64)</f>
        <v>5.5314829959483767</v>
      </c>
      <c r="AN7" s="1157">
        <f>IF('IN (mmol|L)'!Q53="",AVERAGE(AK7:AM7),'IN (mmol|L)'!Q53/'IN (mmol|L)'!$V$64)</f>
        <v>5.53148065733631</v>
      </c>
      <c r="AO7" s="1158">
        <f>IF('IN (mmol|L)'!E76="",AVERAGE(AL7:AN7),'IN (mmol|L)'!E76/'IN (mmol|L)'!$V$87)</f>
        <v>5.5314815260892978</v>
      </c>
      <c r="AP7" s="1159">
        <f>IF('IN (mmol|L)'!F76="",AVERAGE(AM7:AO7),'IN (mmol|L)'!F76/'IN (mmol|L)'!$V$87)</f>
        <v>5.5314817264579945</v>
      </c>
      <c r="AQ7" s="1159">
        <f>IF('IN (mmol|L)'!G76="",AVERAGE(AN7:AP7),'IN (mmol|L)'!G76/'IN (mmol|L)'!$V$87)</f>
        <v>5.5314813032945338</v>
      </c>
      <c r="AR7" s="1159">
        <f>IF('IN (mmol|L)'!H76="",AVERAGE(AO7:AQ7),'IN (mmol|L)'!H76/'IN (mmol|L)'!$V$87)</f>
        <v>5.5314815186139414</v>
      </c>
      <c r="AS7" s="1159">
        <f>IF('IN (mmol|L)'!I76="",AVERAGE(AP7:AR7),'IN (mmol|L)'!I76/'IN (mmol|L)'!$V$87)</f>
        <v>5.531481516122156</v>
      </c>
      <c r="AT7" s="1159">
        <f>IF('IN (mmol|L)'!J76="",AVERAGE(AQ7:AS7),'IN (mmol|L)'!J76/'IN (mmol|L)'!$V$87)</f>
        <v>5.5314814460102104</v>
      </c>
      <c r="AU7" s="1159">
        <f>IF('IN (mmol|L)'!K76="",AVERAGE(AR7:AT7),'IN (mmol|L)'!K76/'IN (mmol|L)'!$V$87)</f>
        <v>5.5314814935821026</v>
      </c>
      <c r="AV7" s="1159">
        <f>IF('IN (mmol|L)'!L76="",AVERAGE(AS7:AU7),'IN (mmol|L)'!L76/'IN (mmol|L)'!$V$87)</f>
        <v>5.5314814852381566</v>
      </c>
      <c r="AW7" s="1159">
        <f>IF('IN (mmol|L)'!M76="",AVERAGE(AT7:AV7),'IN (mmol|L)'!M76/'IN (mmol|L)'!$V$87)</f>
        <v>5.5314814749434902</v>
      </c>
      <c r="AX7" s="1159">
        <f>IF('IN (mmol|L)'!N76="",AVERAGE(AU7:AW7),'IN (mmol|L)'!N76/'IN (mmol|L)'!$V$87)</f>
        <v>5.5314814845879168</v>
      </c>
      <c r="AY7" s="1159">
        <f>IF('IN (mmol|L)'!O76="",AVERAGE(AV7:AX7),'IN (mmol|L)'!O76/'IN (mmol|L)'!$V$87)</f>
        <v>5.5314814815898545</v>
      </c>
      <c r="AZ7" s="1159">
        <f>IF('IN (mmol|L)'!P76="",AVERAGE(AW7:AY7),'IN (mmol|L)'!P76/'IN (mmol|L)'!$V$87)</f>
        <v>5.5314814803737535</v>
      </c>
      <c r="BA7" s="1160">
        <f>IF('IN (mmol|L)'!Q76="",AVERAGE(AX7:AZ7),'IN (mmol|L)'!Q76/'IN (mmol|L)'!$V$87)</f>
        <v>5.5314814821838416</v>
      </c>
      <c r="BB7" s="1187">
        <f t="shared" si="2"/>
        <v>5.8813152896518277</v>
      </c>
      <c r="BC7" s="1188">
        <f t="shared" si="6"/>
        <v>1.1106445022369613</v>
      </c>
      <c r="BD7" s="1187">
        <f t="shared" si="3"/>
        <v>3.6600262851779051</v>
      </c>
      <c r="BE7" s="1189">
        <f t="shared" si="4"/>
        <v>8.1026042941257508</v>
      </c>
      <c r="BF7" s="1193">
        <f>IF('IN (mmol|L)'!E100="",'IN (mmol|L)'!$R100/'IN (mmol|L)'!$V$111,'IN (mmol|L)'!E100/'IN (mmol|L)'!$V$111)</f>
        <v>7.0555555555555554</v>
      </c>
      <c r="BG7" s="1194">
        <f>IF('IN (mmol|L)'!F100="",'IN (mmol|L)'!$R100/'IN (mmol|L)'!$V$111,'IN (mmol|L)'!F100/'IN (mmol|L)'!$V$111)</f>
        <v>8.7222222222222214</v>
      </c>
      <c r="BH7" s="1194">
        <f>IF('IN (mmol|L)'!G100="",AVERAGE(BF7:BG7),'IN (mmol|L)'!G100/'IN (mmol|L)'!$V$111)</f>
        <v>10.6</v>
      </c>
      <c r="BI7" s="1194">
        <f>IF('IN (mmol|L)'!H100="",AVERAGE(BG7:BH7),'IN (mmol|L)'!H100/'IN (mmol|L)'!$V$111)</f>
        <v>6.2</v>
      </c>
      <c r="BJ7" s="1194">
        <f>IF('IN (mmol|L)'!I100="",AVERAGE(BH7:BI7),'IN (mmol|L)'!I100/'IN (mmol|L)'!$V$111)</f>
        <v>6.8</v>
      </c>
      <c r="BK7" s="1194">
        <f>IF('IN (mmol|L)'!J100="",AVERAGE(BI7:BJ7),'IN (mmol|L)'!J100/'IN (mmol|L)'!$V$111)</f>
        <v>5.4</v>
      </c>
      <c r="BL7" s="1194">
        <f>IF('IN (mmol|L)'!K100="",AVERAGE(BJ7:BK7),'IN (mmol|L)'!K100/'IN (mmol|L)'!$V$111)</f>
        <v>6.1</v>
      </c>
      <c r="BM7" s="1194">
        <f>IF('IN (mmol|L)'!L100="",AVERAGE(BK7:BL7),'IN (mmol|L)'!L100/'IN (mmol|L)'!$V$111)</f>
        <v>4.5</v>
      </c>
      <c r="BN7" s="1194">
        <f>IF('IN (mmol|L)'!M100="",AVERAGE(BL7:BM7),'IN (mmol|L)'!M100/'IN (mmol|L)'!$V$111)</f>
        <v>5.3</v>
      </c>
      <c r="BO7" s="1194">
        <f>IF('IN (mmol|L)'!N100="",AVERAGE(BM7:BN7),'IN (mmol|L)'!N100/'IN (mmol|L)'!$V$111)</f>
        <v>6</v>
      </c>
      <c r="BP7" s="473">
        <f t="shared" si="5"/>
        <v>4.0813468013466263</v>
      </c>
      <c r="BQ7" s="473">
        <f t="shared" si="5"/>
        <v>3.2855218855220301</v>
      </c>
      <c r="BR7" s="473">
        <f t="shared" si="5"/>
        <v>2.4896969696965243</v>
      </c>
    </row>
    <row r="8" spans="1:71">
      <c r="A8" s="3">
        <f>'IN (mmol|L)'!D8</f>
        <v>0.72916666666666663</v>
      </c>
      <c r="B8" s="1150">
        <f>IF('IN (mmol|L)'!E8="",'IN (mmol|L)'!$R8/'IN (mmol|L)'!$V$18,'IN (mmol|L)'!E8/'IN (mmol|L)'!$V$18)</f>
        <v>6.9444444444444446</v>
      </c>
      <c r="C8" s="1151">
        <f>IF('IN (mmol|L)'!F8="",'IN (mmol|L)'!$R8/'IN (mmol|L)'!$V$18,'IN (mmol|L)'!F8/'IN (mmol|L)'!$V$18)</f>
        <v>8.2777777777777786</v>
      </c>
      <c r="D8" s="1151">
        <f>IF('IN (mmol|L)'!G8="",AVERAGE(B8:C8),'IN (mmol|L)'!G8/'IN (mmol|L)'!$V$18)</f>
        <v>7.0555555555555554</v>
      </c>
      <c r="E8" s="1151">
        <f>IF('IN (mmol|L)'!H8="",AVERAGE(B8:D8),'IN (mmol|L)'!H8/'IN (mmol|L)'!$V$18)</f>
        <v>5</v>
      </c>
      <c r="F8" s="1151">
        <f>IF('IN (mmol|L)'!I8="",AVERAGE(C8:E8),'IN (mmol|L)'!I8/'IN (mmol|L)'!$V$18)</f>
        <v>9.1666666666666661</v>
      </c>
      <c r="G8" s="1151">
        <f>IF('IN (mmol|L)'!J8="",AVERAGE(D8:F8),'IN (mmol|L)'!J8/'IN (mmol|L)'!$V$18)</f>
        <v>6</v>
      </c>
      <c r="H8" s="1151">
        <f>IF('IN (mmol|L)'!K8="",AVERAGE(E8:G8),'IN (mmol|L)'!K8/'IN (mmol|L)'!$V$18)</f>
        <v>9.1666666666666661</v>
      </c>
      <c r="I8" s="1151">
        <f>IF('IN (mmol|L)'!L8="",AVERAGE(F8:H8),'IN (mmol|L)'!L8/'IN (mmol|L)'!$V$18)</f>
        <v>6.9</v>
      </c>
      <c r="J8" s="1151">
        <f>IF('IN (mmol|L)'!M8="",AVERAGE(G8:I8),'IN (mmol|L)'!M8/'IN (mmol|L)'!$V$18)</f>
        <v>8.1999999999999993</v>
      </c>
      <c r="K8" s="1151">
        <f>IF('IN (mmol|L)'!N8="",AVERAGE(H8:J8),'IN (mmol|L)'!N8/'IN (mmol|L)'!$V$18)</f>
        <v>6.4</v>
      </c>
      <c r="L8" s="1151">
        <f>IF('IN (mmol|L)'!O8="",AVERAGE(I8:K8),'IN (mmol|L)'!O8/'IN (mmol|L)'!$V$18)</f>
        <v>5</v>
      </c>
      <c r="M8" s="1151">
        <f>IF('IN (mmol|L)'!P8="",AVERAGE(J8:L8),'IN (mmol|L)'!P8/'IN (mmol|L)'!$V$18)</f>
        <v>9.1999999999999993</v>
      </c>
      <c r="N8" s="1151">
        <f>IF('IN (mmol|L)'!Q8="",AVERAGE(K8:M8),'IN (mmol|L)'!Q8/'IN (mmol|L)'!$V$18)</f>
        <v>4.9000000000000004</v>
      </c>
      <c r="O8" s="1152">
        <f>IF('IN (mmol|L)'!E31="",AVERAGE(L8:N8),'IN (mmol|L)'!E31/'IN (mmol|L)'!$V$41)</f>
        <v>6.8</v>
      </c>
      <c r="P8" s="1153">
        <f>IF('IN (mmol|L)'!F31="",AVERAGE(M8:O8),'IN (mmol|L)'!F31/'IN (mmol|L)'!$V$41)</f>
        <v>8.1999999999999993</v>
      </c>
      <c r="Q8" s="1153">
        <f>IF('IN (mmol|L)'!G31="",AVERAGE(N8:P8),'IN (mmol|L)'!G31/'IN (mmol|L)'!$V$41)</f>
        <v>6.6333333333333329</v>
      </c>
      <c r="R8" s="1153">
        <f>IF('IN (mmol|L)'!H31="",AVERAGE(O8:Q8),'IN (mmol|L)'!H31/'IN (mmol|L)'!$V$41)</f>
        <v>7.2111111111111112</v>
      </c>
      <c r="S8" s="1153">
        <f>IF('IN (mmol|L)'!I31="",AVERAGE(P8:R8),'IN (mmol|L)'!I31/'IN (mmol|L)'!$V$41)</f>
        <v>7.3481481481481481</v>
      </c>
      <c r="T8" s="1153">
        <f>IF('IN (mmol|L)'!J31="",AVERAGE(Q8:S8),'IN (mmol|L)'!J31/'IN (mmol|L)'!$V$41)</f>
        <v>7.064197530864198</v>
      </c>
      <c r="U8" s="1153">
        <f>IF('IN (mmol|L)'!K31="",AVERAGE(R8:T8),'IN (mmol|L)'!K31/'IN (mmol|L)'!$V$41)</f>
        <v>7.207818930041153</v>
      </c>
      <c r="V8" s="1153">
        <f>IF('IN (mmol|L)'!L31="",AVERAGE(S8:U8),'IN (mmol|L)'!L31/'IN (mmol|L)'!$V$41)</f>
        <v>7.206721536351167</v>
      </c>
      <c r="W8" s="1153">
        <f>IF('IN (mmol|L)'!M31="",AVERAGE(T8:V8),'IN (mmol|L)'!M31/'IN (mmol|L)'!$V$41)</f>
        <v>7.1595793324188399</v>
      </c>
      <c r="X8" s="1153">
        <f>IF('IN (mmol|L)'!N31="",AVERAGE(U8:W8),'IN (mmol|L)'!N31/'IN (mmol|L)'!$V$41)</f>
        <v>7.1913732662703866</v>
      </c>
      <c r="Y8" s="1153">
        <f>IF('IN (mmol|L)'!O31="",AVERAGE(V8:X8),'IN (mmol|L)'!O31/'IN (mmol|L)'!$V$41)</f>
        <v>7.1858913783467981</v>
      </c>
      <c r="Z8" s="1153">
        <f>IF('IN (mmol|L)'!P31="",AVERAGE(W8:Y8),'IN (mmol|L)'!P31/'IN (mmol|L)'!$V$41)</f>
        <v>7.1789479923453419</v>
      </c>
      <c r="AA8" s="1154">
        <f>IF('IN (mmol|L)'!Q31="",AVERAGE(X8:Z8),'IN (mmol|L)'!Q31/'IN (mmol|L)'!$V$41)</f>
        <v>7.1854042123208428</v>
      </c>
      <c r="AB8" s="1155">
        <f>IF('IN (mmol|L)'!E54="",AVERAGE(Y8:AA8),'IN (mmol|L)'!E54/'IN (mmol|L)'!$V$64)</f>
        <v>7.183414527670994</v>
      </c>
      <c r="AC8" s="1156">
        <f>IF('IN (mmol|L)'!F54="",AVERAGE(Z8:AB8),'IN (mmol|L)'!F54/'IN (mmol|L)'!$V$64)</f>
        <v>7.1825889107790601</v>
      </c>
      <c r="AD8" s="1156">
        <f>IF('IN (mmol|L)'!G54="",AVERAGE(AA8:AC8),'IN (mmol|L)'!G54/'IN (mmol|L)'!$V$64)</f>
        <v>7.1838025502569662</v>
      </c>
      <c r="AE8" s="1156">
        <f>IF('IN (mmol|L)'!H54="",AVERAGE(AB8:AD8),'IN (mmol|L)'!H54/'IN (mmol|L)'!$V$64)</f>
        <v>7.1832686629023401</v>
      </c>
      <c r="AF8" s="1156">
        <f>IF('IN (mmol|L)'!I54="",AVERAGE(AC8:AE8),'IN (mmol|L)'!I54/'IN (mmol|L)'!$V$64)</f>
        <v>7.1832200413127891</v>
      </c>
      <c r="AG8" s="1156">
        <f>IF('IN (mmol|L)'!J54="",AVERAGE(AD8:AF8),'IN (mmol|L)'!J54/'IN (mmol|L)'!$V$64)</f>
        <v>7.1834304181573652</v>
      </c>
      <c r="AH8" s="1156">
        <f>IF('IN (mmol|L)'!K54="",AVERAGE(AE8:AG8),'IN (mmol|L)'!K54/'IN (mmol|L)'!$V$64)</f>
        <v>7.1833063741241645</v>
      </c>
      <c r="AI8" s="1156">
        <f>IF('IN (mmol|L)'!L54="",AVERAGE(AF8:AH8),'IN (mmol|L)'!L54/'IN (mmol|L)'!$V$64)</f>
        <v>7.1833189445314396</v>
      </c>
      <c r="AJ8" s="1156">
        <f>IF('IN (mmol|L)'!M54="",AVERAGE(AG8:AI8),'IN (mmol|L)'!M54/'IN (mmol|L)'!$V$64)</f>
        <v>7.1833519122709895</v>
      </c>
      <c r="AK8" s="1156">
        <f>IF('IN (mmol|L)'!N54="",AVERAGE(AH8:AJ8),'IN (mmol|L)'!N54/'IN (mmol|L)'!$V$64)</f>
        <v>7.1833257436421976</v>
      </c>
      <c r="AL8" s="1156">
        <f>IF('IN (mmol|L)'!O54="",AVERAGE(AI8:AK8),'IN (mmol|L)'!O54/'IN (mmol|L)'!$V$64)</f>
        <v>7.1833322001482083</v>
      </c>
      <c r="AM8" s="1156">
        <f>IF('IN (mmol|L)'!P54="",AVERAGE(AJ8:AL8),'IN (mmol|L)'!P54/'IN (mmol|L)'!$V$64)</f>
        <v>7.1833366186871315</v>
      </c>
      <c r="AN8" s="1157">
        <f>IF('IN (mmol|L)'!Q54="",AVERAGE(AK8:AM8),'IN (mmol|L)'!Q54/'IN (mmol|L)'!$V$64)</f>
        <v>7.1833315208258455</v>
      </c>
      <c r="AO8" s="1158">
        <f>IF('IN (mmol|L)'!E77="",AVERAGE(AL8:AN8),'IN (mmol|L)'!E77/'IN (mmol|L)'!$V$87)</f>
        <v>7.1833334465537284</v>
      </c>
      <c r="AP8" s="1159">
        <f>IF('IN (mmol|L)'!F77="",AVERAGE(AM8:AO8),'IN (mmol|L)'!F77/'IN (mmol|L)'!$V$87)</f>
        <v>7.1833338620222351</v>
      </c>
      <c r="AQ8" s="1159">
        <f>IF('IN (mmol|L)'!G77="",AVERAGE(AN8:AP8),'IN (mmol|L)'!G77/'IN (mmol|L)'!$V$87)</f>
        <v>7.1833329431339363</v>
      </c>
      <c r="AR8" s="1159">
        <f>IF('IN (mmol|L)'!H77="",AVERAGE(AO8:AQ8),'IN (mmol|L)'!H77/'IN (mmol|L)'!$V$87)</f>
        <v>7.183333417236633</v>
      </c>
      <c r="AS8" s="1159">
        <f>IF('IN (mmol|L)'!I77="",AVERAGE(AP8:AR8),'IN (mmol|L)'!I77/'IN (mmol|L)'!$V$87)</f>
        <v>7.1833334074642679</v>
      </c>
      <c r="AT8" s="1159">
        <f>IF('IN (mmol|L)'!J77="",AVERAGE(AQ8:AS8),'IN (mmol|L)'!J77/'IN (mmol|L)'!$V$87)</f>
        <v>7.1833332559449454</v>
      </c>
      <c r="AU8" s="1159">
        <f>IF('IN (mmol|L)'!K77="",AVERAGE(AR8:AT8),'IN (mmol|L)'!K77/'IN (mmol|L)'!$V$87)</f>
        <v>7.1833333602152818</v>
      </c>
      <c r="AV8" s="1159">
        <f>IF('IN (mmol|L)'!L77="",AVERAGE(AS8:AU8),'IN (mmol|L)'!L77/'IN (mmol|L)'!$V$87)</f>
        <v>7.183333341208165</v>
      </c>
      <c r="AW8" s="1159">
        <f>IF('IN (mmol|L)'!M77="",AVERAGE(AT8:AV8),'IN (mmol|L)'!M77/'IN (mmol|L)'!$V$87)</f>
        <v>7.1833333191227977</v>
      </c>
      <c r="AX8" s="1159">
        <f>IF('IN (mmol|L)'!N77="",AVERAGE(AU8:AW8),'IN (mmol|L)'!N77/'IN (mmol|L)'!$V$87)</f>
        <v>7.1833333401820818</v>
      </c>
      <c r="AY8" s="1159">
        <f>IF('IN (mmol|L)'!O77="",AVERAGE(AV8:AX8),'IN (mmol|L)'!O77/'IN (mmol|L)'!$V$87)</f>
        <v>7.1833333335043479</v>
      </c>
      <c r="AZ8" s="1159">
        <f>IF('IN (mmol|L)'!P77="",AVERAGE(AW8:AY8),'IN (mmol|L)'!P77/'IN (mmol|L)'!$V$87)</f>
        <v>7.1833333309364091</v>
      </c>
      <c r="BA8" s="1160">
        <f>IF('IN (mmol|L)'!Q77="",AVERAGE(AX8:AZ8),'IN (mmol|L)'!Q77/'IN (mmol|L)'!$V$87)</f>
        <v>7.1833333348742796</v>
      </c>
      <c r="BB8" s="1187">
        <f t="shared" si="2"/>
        <v>7.16442307693021</v>
      </c>
      <c r="BC8" s="1188">
        <f t="shared" si="6"/>
        <v>0.79937529289493381</v>
      </c>
      <c r="BD8" s="1187">
        <f t="shared" si="3"/>
        <v>5.5656724911403419</v>
      </c>
      <c r="BE8" s="1189">
        <f t="shared" si="4"/>
        <v>8.763173662720078</v>
      </c>
      <c r="BF8" s="1193">
        <f>IF('IN (mmol|L)'!E101="",'IN (mmol|L)'!$R101/'IN (mmol|L)'!$V$111,'IN (mmol|L)'!E101/'IN (mmol|L)'!$V$111)</f>
        <v>6</v>
      </c>
      <c r="BG8" s="1194">
        <f>IF('IN (mmol|L)'!F101="",'IN (mmol|L)'!$R101/'IN (mmol|L)'!$V$111,'IN (mmol|L)'!F101/'IN (mmol|L)'!$V$111)</f>
        <v>9.1666666666666661</v>
      </c>
      <c r="BH8" s="1194">
        <f>IF('IN (mmol|L)'!G101="",AVERAGE(BF8:BG8),'IN (mmol|L)'!G101/'IN (mmol|L)'!$V$111)</f>
        <v>6.9</v>
      </c>
      <c r="BI8" s="1194">
        <f>IF('IN (mmol|L)'!H101="",AVERAGE(BG8:BH8),'IN (mmol|L)'!H101/'IN (mmol|L)'!$V$111)</f>
        <v>8.1999999999999993</v>
      </c>
      <c r="BJ8" s="1194">
        <f>IF('IN (mmol|L)'!I101="",AVERAGE(BH8:BI8),'IN (mmol|L)'!I101/'IN (mmol|L)'!$V$111)</f>
        <v>6.4</v>
      </c>
      <c r="BK8" s="1194">
        <f>IF('IN (mmol|L)'!J101="",AVERAGE(BI8:BJ8),'IN (mmol|L)'!J101/'IN (mmol|L)'!$V$111)</f>
        <v>5</v>
      </c>
      <c r="BL8" s="1194">
        <f>IF('IN (mmol|L)'!K101="",AVERAGE(BJ8:BK8),'IN (mmol|L)'!K101/'IN (mmol|L)'!$V$111)</f>
        <v>9.1999999999999993</v>
      </c>
      <c r="BM8" s="1194">
        <f>IF('IN (mmol|L)'!L101="",AVERAGE(BK8:BL8),'IN (mmol|L)'!L101/'IN (mmol|L)'!$V$111)</f>
        <v>4.9000000000000004</v>
      </c>
      <c r="BN8" s="1194">
        <f>IF('IN (mmol|L)'!M101="",AVERAGE(BL8:BM8),'IN (mmol|L)'!M101/'IN (mmol|L)'!$V$111)</f>
        <v>6.8</v>
      </c>
      <c r="BO8" s="1194">
        <f>IF('IN (mmol|L)'!N101="",AVERAGE(BM8:BN8),'IN (mmol|L)'!N101/'IN (mmol|L)'!$V$111)</f>
        <v>8.1999999999999993</v>
      </c>
      <c r="BP8" s="473">
        <f t="shared" si="5"/>
        <v>6.8731313131312959</v>
      </c>
      <c r="BQ8" s="473">
        <f t="shared" si="5"/>
        <v>6.8105050505050144</v>
      </c>
      <c r="BR8" s="473">
        <f t="shared" si="5"/>
        <v>6.7478787878787898</v>
      </c>
      <c r="BS8" s="454"/>
    </row>
    <row r="9" spans="1:71">
      <c r="A9" s="3">
        <f>'IN (mmol|L)'!D9</f>
        <v>0.83333333333333337</v>
      </c>
      <c r="B9" s="1150">
        <f>IF('IN (mmol|L)'!E9="",'IN (mmol|L)'!$R9/'IN (mmol|L)'!$V$18,'IN (mmol|L)'!E9/'IN (mmol|L)'!$V$18)</f>
        <v>7.7222222222222223</v>
      </c>
      <c r="C9" s="1151">
        <f>IF('IN (mmol|L)'!F9="",'IN (mmol|L)'!$R9/'IN (mmol|L)'!$V$18,'IN (mmol|L)'!F9/'IN (mmol|L)'!$V$18)</f>
        <v>10.722222222222221</v>
      </c>
      <c r="D9" s="1151">
        <f>IF('IN (mmol|L)'!G9="",AVERAGE(B9:C9),'IN (mmol|L)'!G9/'IN (mmol|L)'!$V$18)</f>
        <v>9.2222222222222214</v>
      </c>
      <c r="E9" s="1151">
        <f>IF('IN (mmol|L)'!H9="",AVERAGE(B9:D9),'IN (mmol|L)'!H9/'IN (mmol|L)'!$V$18)</f>
        <v>11.944444444444445</v>
      </c>
      <c r="F9" s="1151">
        <f>IF('IN (mmol|L)'!I9="",AVERAGE(C9:E9),'IN (mmol|L)'!I9/'IN (mmol|L)'!$V$18)</f>
        <v>10.666666666666666</v>
      </c>
      <c r="G9" s="1151">
        <f>IF('IN (mmol|L)'!J9="",AVERAGE(D9:F9),'IN (mmol|L)'!J9/'IN (mmol|L)'!$V$18)</f>
        <v>5.9444444444444446</v>
      </c>
      <c r="H9" s="1151">
        <f>IF('IN (mmol|L)'!K9="",AVERAGE(E9:G9),'IN (mmol|L)'!K9/'IN (mmol|L)'!$V$18)</f>
        <v>10.722222222222221</v>
      </c>
      <c r="I9" s="1151">
        <f>IF('IN (mmol|L)'!L9="",AVERAGE(F9:H9),'IN (mmol|L)'!L9/'IN (mmol|L)'!$V$18)</f>
        <v>7.7</v>
      </c>
      <c r="J9" s="1151">
        <f>IF('IN (mmol|L)'!M9="",AVERAGE(G9:I9),'IN (mmol|L)'!M9/'IN (mmol|L)'!$V$18)</f>
        <v>10.7</v>
      </c>
      <c r="K9" s="1151">
        <f>IF('IN (mmol|L)'!N9="",AVERAGE(H9:J9),'IN (mmol|L)'!N9/'IN (mmol|L)'!$V$18)</f>
        <v>7</v>
      </c>
      <c r="L9" s="1151">
        <f>IF('IN (mmol|L)'!O9="",AVERAGE(I9:K9),'IN (mmol|L)'!O9/'IN (mmol|L)'!$V$18)</f>
        <v>11.9</v>
      </c>
      <c r="M9" s="1151">
        <f>IF('IN (mmol|L)'!P9="",AVERAGE(J9:L9),'IN (mmol|L)'!P9/'IN (mmol|L)'!$V$18)</f>
        <v>10.8</v>
      </c>
      <c r="N9" s="1151">
        <f>IF('IN (mmol|L)'!Q9="",AVERAGE(K9:M9),'IN (mmol|L)'!Q9/'IN (mmol|L)'!$V$18)</f>
        <v>5.2</v>
      </c>
      <c r="O9" s="1152">
        <f>IF('IN (mmol|L)'!E32="",AVERAGE(L9:N9),'IN (mmol|L)'!E32/'IN (mmol|L)'!$V$41)</f>
        <v>5.2</v>
      </c>
      <c r="P9" s="1161">
        <f>IF('IN (mmol|L)'!F32="",AVERAGE(M9:O9),'IN (mmol|L)'!F32/'IN (mmol|L)'!$V$41)</f>
        <v>8.6999999999999993</v>
      </c>
      <c r="Q9" s="1153">
        <f>IF('IN (mmol|L)'!G32="",AVERAGE(N9:P9),'IN (mmol|L)'!G32/'IN (mmol|L)'!$V$41)</f>
        <v>6.3666666666666671</v>
      </c>
      <c r="R9" s="1153">
        <f>IF('IN (mmol|L)'!H32="",AVERAGE(O9:Q9),'IN (mmol|L)'!H32/'IN (mmol|L)'!$V$41)</f>
        <v>6.7555555555555555</v>
      </c>
      <c r="S9" s="1153">
        <f>IF('IN (mmol|L)'!I32="",AVERAGE(P9:R9),'IN (mmol|L)'!I32/'IN (mmol|L)'!$V$41)</f>
        <v>7.2740740740740746</v>
      </c>
      <c r="T9" s="1153">
        <f>IF('IN (mmol|L)'!J32="",AVERAGE(Q9:S9),'IN (mmol|L)'!J32/'IN (mmol|L)'!$V$41)</f>
        <v>6.798765432098766</v>
      </c>
      <c r="U9" s="1153">
        <f>IF('IN (mmol|L)'!K32="",AVERAGE(R9:T9),'IN (mmol|L)'!K32/'IN (mmol|L)'!$V$41)</f>
        <v>6.942798353909466</v>
      </c>
      <c r="V9" s="1153">
        <f>IF('IN (mmol|L)'!L32="",AVERAGE(S9:U9),'IN (mmol|L)'!L32/'IN (mmol|L)'!$V$41)</f>
        <v>7.0052126200274358</v>
      </c>
      <c r="W9" s="1153">
        <f>IF('IN (mmol|L)'!M32="",AVERAGE(T9:V9),'IN (mmol|L)'!M32/'IN (mmol|L)'!$V$41)</f>
        <v>6.9155921353452223</v>
      </c>
      <c r="X9" s="1153">
        <f>IF('IN (mmol|L)'!N32="",AVERAGE(U9:W9),'IN (mmol|L)'!N32/'IN (mmol|L)'!$V$41)</f>
        <v>6.954534369760708</v>
      </c>
      <c r="Y9" s="1153">
        <f>IF('IN (mmol|L)'!O32="",AVERAGE(V9:X9),'IN (mmol|L)'!O32/'IN (mmol|L)'!$V$41)</f>
        <v>6.9584463750444554</v>
      </c>
      <c r="Z9" s="1153">
        <f>IF('IN (mmol|L)'!P32="",AVERAGE(W9:Y9),'IN (mmol|L)'!P32/'IN (mmol|L)'!$V$41)</f>
        <v>6.942857626716795</v>
      </c>
      <c r="AA9" s="1154">
        <f>IF('IN (mmol|L)'!Q32="",AVERAGE(X9:Z9),'IN (mmol|L)'!Q32/'IN (mmol|L)'!$V$41)</f>
        <v>6.9519461238406528</v>
      </c>
      <c r="AB9" s="1155">
        <f>IF('IN (mmol|L)'!E55="",AVERAGE(Y9:AA9),'IN (mmol|L)'!E55/'IN (mmol|L)'!$V$64)</f>
        <v>6.9510833752006347</v>
      </c>
      <c r="AC9" s="1156">
        <f>IF('IN (mmol|L)'!F55="",AVERAGE(Z9:AB9),'IN (mmol|L)'!F55/'IN (mmol|L)'!$V$64)</f>
        <v>6.9486290419193608</v>
      </c>
      <c r="AD9" s="1156">
        <f>IF('IN (mmol|L)'!G55="",AVERAGE(AA9:AC9),'IN (mmol|L)'!G55/'IN (mmol|L)'!$V$64)</f>
        <v>6.9505528469868834</v>
      </c>
      <c r="AE9" s="1156">
        <f>IF('IN (mmol|L)'!H55="",AVERAGE(AB9:AD9),'IN (mmol|L)'!H55/'IN (mmol|L)'!$V$64)</f>
        <v>6.9500884213689602</v>
      </c>
      <c r="AF9" s="1156">
        <f>IF('IN (mmol|L)'!I55="",AVERAGE(AC9:AE9),'IN (mmol|L)'!I55/'IN (mmol|L)'!$V$64)</f>
        <v>6.9497567700917351</v>
      </c>
      <c r="AG9" s="1156">
        <f>IF('IN (mmol|L)'!J55="",AVERAGE(AD9:AF9),'IN (mmol|L)'!J55/'IN (mmol|L)'!$V$64)</f>
        <v>6.9501326794825262</v>
      </c>
      <c r="AH9" s="1156">
        <f>IF('IN (mmol|L)'!K55="",AVERAGE(AE9:AG9),'IN (mmol|L)'!K55/'IN (mmol|L)'!$V$64)</f>
        <v>6.9499926236477405</v>
      </c>
      <c r="AI9" s="1156">
        <f>IF('IN (mmol|L)'!L55="",AVERAGE(AF9:AH9),'IN (mmol|L)'!L55/'IN (mmol|L)'!$V$64)</f>
        <v>6.9499606910740006</v>
      </c>
      <c r="AJ9" s="1156">
        <f>IF('IN (mmol|L)'!M55="",AVERAGE(AG9:AI9),'IN (mmol|L)'!M55/'IN (mmol|L)'!$V$64)</f>
        <v>6.9500286647347558</v>
      </c>
      <c r="AK9" s="1156">
        <f>IF('IN (mmol|L)'!N55="",AVERAGE(AH9:AJ9),'IN (mmol|L)'!N55/'IN (mmol|L)'!$V$64)</f>
        <v>6.9499939931521659</v>
      </c>
      <c r="AL9" s="1156">
        <f>IF('IN (mmol|L)'!O55="",AVERAGE(AI9:AK9),'IN (mmol|L)'!O55/'IN (mmol|L)'!$V$64)</f>
        <v>6.9499944496536408</v>
      </c>
      <c r="AM9" s="1156">
        <f>IF('IN (mmol|L)'!P55="",AVERAGE(AJ9:AL9),'IN (mmol|L)'!P55/'IN (mmol|L)'!$V$64)</f>
        <v>6.9500057025135211</v>
      </c>
      <c r="AN9" s="1157">
        <f>IF('IN (mmol|L)'!Q55="",AVERAGE(AK9:AM9),'IN (mmol|L)'!Q55/'IN (mmol|L)'!$V$64)</f>
        <v>6.9499980484397765</v>
      </c>
      <c r="AO9" s="1158">
        <f>IF('IN (mmol|L)'!E78="",AVERAGE(AL9:AN9),'IN (mmol|L)'!E78/'IN (mmol|L)'!$V$87)</f>
        <v>6.9499994002023131</v>
      </c>
      <c r="AP9" s="1159">
        <f>IF('IN (mmol|L)'!F78="",AVERAGE(AM9:AO9),'IN (mmol|L)'!F78/'IN (mmol|L)'!$V$87)</f>
        <v>6.9500010503852039</v>
      </c>
      <c r="AQ9" s="1159">
        <f>IF('IN (mmol|L)'!G78="",AVERAGE(AN9:AP9),'IN (mmol|L)'!G78/'IN (mmol|L)'!$V$87)</f>
        <v>6.9499994996757648</v>
      </c>
      <c r="AR9" s="1159">
        <f>IF('IN (mmol|L)'!H78="",AVERAGE(AO9:AQ9),'IN (mmol|L)'!H78/'IN (mmol|L)'!$V$87)</f>
        <v>6.9499999834210939</v>
      </c>
      <c r="AS9" s="1159">
        <f>IF('IN (mmol|L)'!I78="",AVERAGE(AP9:AR9),'IN (mmol|L)'!I78/'IN (mmol|L)'!$V$87)</f>
        <v>6.9500001778273548</v>
      </c>
      <c r="AT9" s="1159">
        <f>IF('IN (mmol|L)'!J78="",AVERAGE(AQ9:AS9),'IN (mmol|L)'!J78/'IN (mmol|L)'!$V$87)</f>
        <v>6.9499998869747381</v>
      </c>
      <c r="AU9" s="1159">
        <f>IF('IN (mmol|L)'!K78="",AVERAGE(AR9:AT9),'IN (mmol|L)'!K78/'IN (mmol|L)'!$V$87)</f>
        <v>6.9500000160743953</v>
      </c>
      <c r="AV9" s="1159">
        <f>IF('IN (mmol|L)'!L78="",AVERAGE(AS9:AU9),'IN (mmol|L)'!L78/'IN (mmol|L)'!$V$87)</f>
        <v>6.9500000269588291</v>
      </c>
      <c r="AW9" s="1159">
        <f>IF('IN (mmol|L)'!M78="",AVERAGE(AT9:AV9),'IN (mmol|L)'!M78/'IN (mmol|L)'!$V$87)</f>
        <v>6.9499999766693206</v>
      </c>
      <c r="AX9" s="1159">
        <f>IF('IN (mmol|L)'!N78="",AVERAGE(AU9:AW9),'IN (mmol|L)'!N78/'IN (mmol|L)'!$V$87)</f>
        <v>6.9500000065675147</v>
      </c>
      <c r="AY9" s="1159">
        <f>IF('IN (mmol|L)'!O78="",AVERAGE(AV9:AX9),'IN (mmol|L)'!O78/'IN (mmol|L)'!$V$87)</f>
        <v>6.9500000033985545</v>
      </c>
      <c r="AZ9" s="1159">
        <f>IF('IN (mmol|L)'!P78="",AVERAGE(AW9:AY9),'IN (mmol|L)'!P78/'IN (mmol|L)'!$V$87)</f>
        <v>6.9499999955451299</v>
      </c>
      <c r="BA9" s="1160">
        <f>IF('IN (mmol|L)'!Q78="",AVERAGE(AX9:AZ9),'IN (mmol|L)'!Q78/'IN (mmol|L)'!$V$87)</f>
        <v>6.9500000018370658</v>
      </c>
      <c r="BB9" s="1187">
        <f t="shared" si="2"/>
        <v>7.5136752136786011</v>
      </c>
      <c r="BC9" s="1188">
        <f t="shared" si="6"/>
        <v>1.5410484094788728</v>
      </c>
      <c r="BD9" s="1187">
        <f t="shared" si="3"/>
        <v>4.4315783947208551</v>
      </c>
      <c r="BE9" s="1189">
        <f t="shared" si="4"/>
        <v>10.595772032636347</v>
      </c>
      <c r="BF9" s="1193">
        <f>IF('IN (mmol|L)'!E102="",'IN (mmol|L)'!$R102/'IN (mmol|L)'!$V$111,'IN (mmol|L)'!E102/'IN (mmol|L)'!$V$111)</f>
        <v>5.9444444444444446</v>
      </c>
      <c r="BG9" s="1194">
        <f>IF('IN (mmol|L)'!F102="",'IN (mmol|L)'!$R102/'IN (mmol|L)'!$V$111,'IN (mmol|L)'!F102/'IN (mmol|L)'!$V$111)</f>
        <v>10.722222222222221</v>
      </c>
      <c r="BH9" s="1194">
        <f>IF('IN (mmol|L)'!G102="",AVERAGE(BF9:BG9),'IN (mmol|L)'!G102/'IN (mmol|L)'!$V$111)</f>
        <v>7.7</v>
      </c>
      <c r="BI9" s="1194">
        <f>IF('IN (mmol|L)'!H102="",AVERAGE(BG9:BH9),'IN (mmol|L)'!H102/'IN (mmol|L)'!$V$111)</f>
        <v>10.7</v>
      </c>
      <c r="BJ9" s="1194">
        <f>IF('IN (mmol|L)'!I102="",AVERAGE(BH9:BI9),'IN (mmol|L)'!I102/'IN (mmol|L)'!$V$111)</f>
        <v>7</v>
      </c>
      <c r="BK9" s="1194">
        <f>IF('IN (mmol|L)'!J102="",AVERAGE(BI9:BJ9),'IN (mmol|L)'!J102/'IN (mmol|L)'!$V$111)</f>
        <v>11.9</v>
      </c>
      <c r="BL9" s="1194">
        <f>IF('IN (mmol|L)'!K102="",AVERAGE(BJ9:BK9),'IN (mmol|L)'!K102/'IN (mmol|L)'!$V$111)</f>
        <v>10.8</v>
      </c>
      <c r="BM9" s="1194">
        <f>IF('IN (mmol|L)'!L102="",AVERAGE(BK9:BL9),'IN (mmol|L)'!L102/'IN (mmol|L)'!$V$111)</f>
        <v>5.2</v>
      </c>
      <c r="BN9" s="1194">
        <f>IF('IN (mmol|L)'!M102="",AVERAGE(BL9:BM9),'IN (mmol|L)'!M102/'IN (mmol|L)'!$V$111)</f>
        <v>5.2</v>
      </c>
      <c r="BO9" s="1194">
        <f>IF('IN (mmol|L)'!N102="",AVERAGE(BM9:BN9),'IN (mmol|L)'!N102/'IN (mmol|L)'!$V$111)</f>
        <v>8.6999999999999993</v>
      </c>
      <c r="BP9" s="473">
        <f t="shared" si="5"/>
        <v>7.5532659932659953</v>
      </c>
      <c r="BQ9" s="473">
        <f t="shared" si="5"/>
        <v>7.2968350168350753</v>
      </c>
      <c r="BR9" s="473">
        <f t="shared" si="5"/>
        <v>7.0404040404041552</v>
      </c>
    </row>
    <row r="10" spans="1:71">
      <c r="A10" s="3">
        <f>'IN (mmol|L)'!D10</f>
        <v>0.95833333333333337</v>
      </c>
      <c r="B10" s="1150">
        <f>IF('IN (mmol|L)'!E10="",'IN (mmol|L)'!$R10/'IN (mmol|L)'!$V$18,'IN (mmol|L)'!E10/'IN (mmol|L)'!$V$18)</f>
        <v>7.3888888888888893</v>
      </c>
      <c r="C10" s="1151">
        <f>IF('IN (mmol|L)'!F10="",'IN (mmol|L)'!$R10/'IN (mmol|L)'!$V$18,'IN (mmol|L)'!F10/'IN (mmol|L)'!$V$18)</f>
        <v>9</v>
      </c>
      <c r="D10" s="1151">
        <f>IF('IN (mmol|L)'!G10="",AVERAGE(B10:C10),'IN (mmol|L)'!G10/'IN (mmol|L)'!$V$18)</f>
        <v>7.5555555555555554</v>
      </c>
      <c r="E10" s="1151">
        <f>IF('IN (mmol|L)'!H10="",AVERAGE(B10:D10),'IN (mmol|L)'!H10/'IN (mmol|L)'!$V$18)</f>
        <v>5.2777777777777777</v>
      </c>
      <c r="F10" s="1151">
        <f>IF('IN (mmol|L)'!I10="",AVERAGE(C10:E10),'IN (mmol|L)'!I10/'IN (mmol|L)'!$V$18)</f>
        <v>9.7222222222222214</v>
      </c>
      <c r="G10" s="1151">
        <f>IF('IN (mmol|L)'!J10="",AVERAGE(D10:F10),'IN (mmol|L)'!J10/'IN (mmol|L)'!$V$18)</f>
        <v>10</v>
      </c>
      <c r="H10" s="1151">
        <f>IF('IN (mmol|L)'!K10="",AVERAGE(E10:G10),'IN (mmol|L)'!K10/'IN (mmol|L)'!$V$18)</f>
        <v>7.2222222222222223</v>
      </c>
      <c r="I10" s="1151">
        <f>IF('IN (mmol|L)'!L10="",AVERAGE(F10:H10),'IN (mmol|L)'!L10/'IN (mmol|L)'!$V$18)</f>
        <v>7.4</v>
      </c>
      <c r="J10" s="1151">
        <f>IF('IN (mmol|L)'!M10="",AVERAGE(G10:I10),'IN (mmol|L)'!M10/'IN (mmol|L)'!$V$18)</f>
        <v>9</v>
      </c>
      <c r="K10" s="1151">
        <f>IF('IN (mmol|L)'!N10="",AVERAGE(H10:J10),'IN (mmol|L)'!N10/'IN (mmol|L)'!$V$18)</f>
        <v>7.6</v>
      </c>
      <c r="L10" s="1151">
        <f>IF('IN (mmol|L)'!O10="",AVERAGE(I10:K10),'IN (mmol|L)'!O10/'IN (mmol|L)'!$V$18)</f>
        <v>5.3</v>
      </c>
      <c r="M10" s="1151">
        <f>IF('IN (mmol|L)'!P10="",AVERAGE(J10:L10),'IN (mmol|L)'!P10/'IN (mmol|L)'!$V$18)</f>
        <v>9.6999999999999993</v>
      </c>
      <c r="N10" s="1151">
        <f>IF('IN (mmol|L)'!Q10="",AVERAGE(K10:M10),'IN (mmol|L)'!Q10/'IN (mmol|L)'!$V$18)</f>
        <v>7.5333333333333323</v>
      </c>
      <c r="O10" s="1152">
        <f>IF('IN (mmol|L)'!E33="",AVERAGE(L10:N10),'IN (mmol|L)'!E33/'IN (mmol|L)'!$V$41)</f>
        <v>5.3</v>
      </c>
      <c r="P10" s="1153">
        <f>IF('IN (mmol|L)'!F33="",AVERAGE(M10:O10),'IN (mmol|L)'!F33/'IN (mmol|L)'!$V$41)</f>
        <v>7.9</v>
      </c>
      <c r="Q10" s="1153">
        <f>IF('IN (mmol|L)'!G33="",AVERAGE(N10:P10),'IN (mmol|L)'!G33/'IN (mmol|L)'!$V$41)</f>
        <v>6.9111111111111114</v>
      </c>
      <c r="R10" s="1153">
        <f>IF('IN (mmol|L)'!H33="",AVERAGE(O10:Q10),'IN (mmol|L)'!H33/'IN (mmol|L)'!$V$41)</f>
        <v>6.7037037037037033</v>
      </c>
      <c r="S10" s="1153">
        <f>IF('IN (mmol|L)'!I33="",AVERAGE(P10:R10),'IN (mmol|L)'!I33/'IN (mmol|L)'!$V$41)</f>
        <v>7.1716049382716056</v>
      </c>
      <c r="T10" s="1153">
        <f>IF('IN (mmol|L)'!J33="",AVERAGE(Q10:S10),'IN (mmol|L)'!J33/'IN (mmol|L)'!$V$41)</f>
        <v>6.9288065843621398</v>
      </c>
      <c r="U10" s="1153">
        <f>IF('IN (mmol|L)'!K33="",AVERAGE(R10:T10),'IN (mmol|L)'!K33/'IN (mmol|L)'!$V$41)</f>
        <v>6.9347050754458159</v>
      </c>
      <c r="V10" s="1153">
        <f>IF('IN (mmol|L)'!L33="",AVERAGE(S10:U10),'IN (mmol|L)'!L33/'IN (mmol|L)'!$V$41)</f>
        <v>7.0117055326931874</v>
      </c>
      <c r="W10" s="1153">
        <f>IF('IN (mmol|L)'!M33="",AVERAGE(T10:V10),'IN (mmol|L)'!M33/'IN (mmol|L)'!$V$41)</f>
        <v>6.9584057308337144</v>
      </c>
      <c r="X10" s="1153">
        <f>IF('IN (mmol|L)'!N33="",AVERAGE(U10:W10),'IN (mmol|L)'!N33/'IN (mmol|L)'!$V$41)</f>
        <v>6.9682721129909062</v>
      </c>
      <c r="Y10" s="1153">
        <f>IF('IN (mmol|L)'!O33="",AVERAGE(V10:X10),'IN (mmol|L)'!O33/'IN (mmol|L)'!$V$41)</f>
        <v>6.979461125505936</v>
      </c>
      <c r="Z10" s="1153">
        <f>IF('IN (mmol|L)'!P33="",AVERAGE(W10:Y10),'IN (mmol|L)'!P33/'IN (mmol|L)'!$V$41)</f>
        <v>6.9687129897768516</v>
      </c>
      <c r="AA10" s="1154">
        <f>IF('IN (mmol|L)'!Q33="",AVERAGE(X10:Z10),'IN (mmol|L)'!Q33/'IN (mmol|L)'!$V$41)</f>
        <v>6.9721487427578976</v>
      </c>
      <c r="AB10" s="1155">
        <f>IF('IN (mmol|L)'!E56="",AVERAGE(Y10:AA10),'IN (mmol|L)'!E56/'IN (mmol|L)'!$V$64)</f>
        <v>6.9734409526802281</v>
      </c>
      <c r="AC10" s="1156">
        <f>IF('IN (mmol|L)'!F56="",AVERAGE(Z10:AB10),'IN (mmol|L)'!F56/'IN (mmol|L)'!$V$64)</f>
        <v>6.9714342284049922</v>
      </c>
      <c r="AD10" s="1156">
        <f>IF('IN (mmol|L)'!G56="",AVERAGE(AA10:AC10),'IN (mmol|L)'!G56/'IN (mmol|L)'!$V$64)</f>
        <v>6.9723413079477057</v>
      </c>
      <c r="AE10" s="1156">
        <f>IF('IN (mmol|L)'!H56="",AVERAGE(AB10:AD10),'IN (mmol|L)'!H56/'IN (mmol|L)'!$V$64)</f>
        <v>6.9724054963443081</v>
      </c>
      <c r="AF10" s="1156">
        <f>IF('IN (mmol|L)'!I56="",AVERAGE(AC10:AE10),'IN (mmol|L)'!I56/'IN (mmol|L)'!$V$64)</f>
        <v>6.972060344232335</v>
      </c>
      <c r="AG10" s="1156">
        <f>IF('IN (mmol|L)'!J56="",AVERAGE(AD10:AF10),'IN (mmol|L)'!J56/'IN (mmol|L)'!$V$64)</f>
        <v>6.9722690495081165</v>
      </c>
      <c r="AH10" s="1156">
        <f>IF('IN (mmol|L)'!K56="",AVERAGE(AE10:AG10),'IN (mmol|L)'!K56/'IN (mmol|L)'!$V$64)</f>
        <v>6.9722449633615868</v>
      </c>
      <c r="AI10" s="1156">
        <f>IF('IN (mmol|L)'!L56="",AVERAGE(AF10:AH10),'IN (mmol|L)'!L56/'IN (mmol|L)'!$V$64)</f>
        <v>6.9721914523673467</v>
      </c>
      <c r="AJ10" s="1156">
        <f>IF('IN (mmol|L)'!M56="",AVERAGE(AG10:AI10),'IN (mmol|L)'!M56/'IN (mmol|L)'!$V$64)</f>
        <v>6.9722351550790167</v>
      </c>
      <c r="AK10" s="1156">
        <f>IF('IN (mmol|L)'!N56="",AVERAGE(AH10:AJ10),'IN (mmol|L)'!N56/'IN (mmol|L)'!$V$64)</f>
        <v>6.9722238569359831</v>
      </c>
      <c r="AL10" s="1156">
        <f>IF('IN (mmol|L)'!O56="",AVERAGE(AI10:AK10),'IN (mmol|L)'!O56/'IN (mmol|L)'!$V$64)</f>
        <v>6.9722168214607825</v>
      </c>
      <c r="AM10" s="1156">
        <f>IF('IN (mmol|L)'!P56="",AVERAGE(AJ10:AL10),'IN (mmol|L)'!P56/'IN (mmol|L)'!$V$64)</f>
        <v>6.9722252778252605</v>
      </c>
      <c r="AN10" s="1157">
        <f>IF('IN (mmol|L)'!Q56="",AVERAGE(AK10:AM10),'IN (mmol|L)'!Q56/'IN (mmol|L)'!$V$64)</f>
        <v>6.9722219854073417</v>
      </c>
      <c r="AO10" s="1158">
        <f>IF('IN (mmol|L)'!E79="",AVERAGE(AL10:AN10),'IN (mmol|L)'!E79/'IN (mmol|L)'!$V$87)</f>
        <v>6.9722213615644613</v>
      </c>
      <c r="AP10" s="1159">
        <f>IF('IN (mmol|L)'!F79="",AVERAGE(AM10:AO10),'IN (mmol|L)'!F79/'IN (mmol|L)'!$V$87)</f>
        <v>6.9722228749323536</v>
      </c>
      <c r="AQ10" s="1159">
        <f>IF('IN (mmol|L)'!G79="",AVERAGE(AN10:AP10),'IN (mmol|L)'!G79/'IN (mmol|L)'!$V$87)</f>
        <v>6.9722220739680516</v>
      </c>
      <c r="AR10" s="1159">
        <f>IF('IN (mmol|L)'!H79="",AVERAGE(AO10:AQ10),'IN (mmol|L)'!H79/'IN (mmol|L)'!$V$87)</f>
        <v>6.9722221034882885</v>
      </c>
      <c r="AS10" s="1159">
        <f>IF('IN (mmol|L)'!I79="",AVERAGE(AP10:AR10),'IN (mmol|L)'!I79/'IN (mmol|L)'!$V$87)</f>
        <v>6.9722223507962306</v>
      </c>
      <c r="AT10" s="1159">
        <f>IF('IN (mmol|L)'!J79="",AVERAGE(AQ10:AS10),'IN (mmol|L)'!J79/'IN (mmol|L)'!$V$87)</f>
        <v>6.9722221760841903</v>
      </c>
      <c r="AU10" s="1159">
        <f>IF('IN (mmol|L)'!K79="",AVERAGE(AR10:AT10),'IN (mmol|L)'!K79/'IN (mmol|L)'!$V$87)</f>
        <v>6.9722222101229034</v>
      </c>
      <c r="AV10" s="1159">
        <f>IF('IN (mmol|L)'!L79="",AVERAGE(AS10:AU10),'IN (mmol|L)'!L79/'IN (mmol|L)'!$V$87)</f>
        <v>6.9722222456677754</v>
      </c>
      <c r="AW10" s="1159">
        <f>IF('IN (mmol|L)'!M79="",AVERAGE(AT10:AV10),'IN (mmol|L)'!M79/'IN (mmol|L)'!$V$87)</f>
        <v>6.9722222106249561</v>
      </c>
      <c r="AX10" s="1159">
        <f>IF('IN (mmol|L)'!N79="",AVERAGE(AU10:AW10),'IN (mmol|L)'!N79/'IN (mmol|L)'!$V$87)</f>
        <v>6.9722222221385453</v>
      </c>
      <c r="AY10" s="1159">
        <f>IF('IN (mmol|L)'!O79="",AVERAGE(AV10:AX10),'IN (mmol|L)'!O79/'IN (mmol|L)'!$V$87)</f>
        <v>6.9722222261437592</v>
      </c>
      <c r="AZ10" s="1159">
        <f>IF('IN (mmol|L)'!P79="",AVERAGE(AW10:AY10),'IN (mmol|L)'!P79/'IN (mmol|L)'!$V$87)</f>
        <v>6.9722222196357535</v>
      </c>
      <c r="BA10" s="1160">
        <f>IF('IN (mmol|L)'!Q79="",AVERAGE(AX10:AZ10),'IN (mmol|L)'!Q79/'IN (mmol|L)'!$V$87)</f>
        <v>6.9722222226393527</v>
      </c>
      <c r="BB10" s="1187">
        <f t="shared" si="2"/>
        <v>7.1862891737848917</v>
      </c>
      <c r="BC10" s="1188">
        <f t="shared" si="6"/>
        <v>0.89579857304255006</v>
      </c>
      <c r="BD10" s="1187">
        <f t="shared" si="3"/>
        <v>5.3946920276997918</v>
      </c>
      <c r="BE10" s="1189">
        <f t="shared" si="4"/>
        <v>8.9778863198699916</v>
      </c>
      <c r="BF10" s="1193">
        <f>IF('IN (mmol|L)'!E103="",'IN (mmol|L)'!$R103/'IN (mmol|L)'!$V$111,'IN (mmol|L)'!E103/'IN (mmol|L)'!$V$111)</f>
        <v>10</v>
      </c>
      <c r="BG10" s="1194">
        <f>IF('IN (mmol|L)'!F103="",'IN (mmol|L)'!$R103/'IN (mmol|L)'!$V$111,'IN (mmol|L)'!F103/'IN (mmol|L)'!$V$111)</f>
        <v>7.2222222222222223</v>
      </c>
      <c r="BH10" s="1194">
        <f>IF('IN (mmol|L)'!G103="",AVERAGE(BF10:BG10),'IN (mmol|L)'!G103/'IN (mmol|L)'!$V$111)</f>
        <v>7.4</v>
      </c>
      <c r="BI10" s="1194">
        <f>IF('IN (mmol|L)'!H103="",AVERAGE(BG10:BH10),'IN (mmol|L)'!H103/'IN (mmol|L)'!$V$111)</f>
        <v>9</v>
      </c>
      <c r="BJ10" s="1194">
        <f>IF('IN (mmol|L)'!I103="",AVERAGE(BH10:BI10),'IN (mmol|L)'!I103/'IN (mmol|L)'!$V$111)</f>
        <v>7.6</v>
      </c>
      <c r="BK10" s="1194">
        <f>IF('IN (mmol|L)'!J103="",AVERAGE(BI10:BJ10),'IN (mmol|L)'!J103/'IN (mmol|L)'!$V$111)</f>
        <v>5.3</v>
      </c>
      <c r="BL10" s="1194">
        <f>IF('IN (mmol|L)'!K103="",AVERAGE(BJ10:BK10),'IN (mmol|L)'!K103/'IN (mmol|L)'!$V$111)</f>
        <v>9.6999999999999993</v>
      </c>
      <c r="BM10" s="1194">
        <f>IF('IN (mmol|L)'!L103="",AVERAGE(BK10:BL10),'IN (mmol|L)'!L103/'IN (mmol|L)'!$V$111)</f>
        <v>7.5</v>
      </c>
      <c r="BN10" s="1194">
        <f>IF('IN (mmol|L)'!M103="",AVERAGE(BL10:BM10),'IN (mmol|L)'!M103/'IN (mmol|L)'!$V$111)</f>
        <v>5.3</v>
      </c>
      <c r="BO10" s="1194">
        <f>IF('IN (mmol|L)'!N103="",AVERAGE(BM10:BN10),'IN (mmol|L)'!N103/'IN (mmol|L)'!$V$111)</f>
        <v>7.9</v>
      </c>
      <c r="BP10" s="473">
        <f t="shared" si="5"/>
        <v>6.4294276094278757</v>
      </c>
      <c r="BQ10" s="473">
        <f t="shared" si="5"/>
        <v>6.0408754208756363</v>
      </c>
      <c r="BR10" s="473">
        <f t="shared" si="5"/>
        <v>5.652323232323397</v>
      </c>
    </row>
    <row r="11" spans="1:71">
      <c r="A11" s="3" t="str">
        <f>'IN (mmol|L)'!D11</f>
        <v>Nacht</v>
      </c>
      <c r="B11" s="1150">
        <f>IF('IN (mmol|L)'!E11="",'IN (mmol|L)'!$R11/'IN (mmol|L)'!$V$18,'IN (mmol|L)'!E11/'IN (mmol|L)'!$V$18)</f>
        <v>5.8888888888888893</v>
      </c>
      <c r="C11" s="1151">
        <f>IF('IN (mmol|L)'!F11="",'IN (mmol|L)'!$R11/'IN (mmol|L)'!$V$18,'IN (mmol|L)'!F11/'IN (mmol|L)'!$V$18)</f>
        <v>5.666666666666667</v>
      </c>
      <c r="D11" s="1151">
        <f>IF('IN (mmol|L)'!G11="",AVERAGE(B11:C11),'IN (mmol|L)'!G11/'IN (mmol|L)'!$V$18)</f>
        <v>6.5</v>
      </c>
      <c r="E11" s="1151">
        <f>IF('IN (mmol|L)'!H11="",AVERAGE(B11:D11),'IN (mmol|L)'!H11/'IN (mmol|L)'!$V$18)</f>
        <v>6.5555555555555554</v>
      </c>
      <c r="F11" s="1151">
        <f>IF('IN (mmol|L)'!I11="",AVERAGE(C11:E11),'IN (mmol|L)'!I11/'IN (mmol|L)'!$V$18)</f>
        <v>6.5</v>
      </c>
      <c r="G11" s="1151">
        <f>IF('IN (mmol|L)'!J11="",AVERAGE(D11:F11),'IN (mmol|L)'!J11/'IN (mmol|L)'!$V$18)</f>
        <v>5.2777777777777777</v>
      </c>
      <c r="H11" s="1151">
        <f>IF('IN (mmol|L)'!K11="",AVERAGE(E11:G11),'IN (mmol|L)'!K11/'IN (mmol|L)'!$V$18)</f>
        <v>5.5555555555555554</v>
      </c>
      <c r="I11" s="1151">
        <f>IF('IN (mmol|L)'!L11="",AVERAGE(F11:H11),'IN (mmol|L)'!L11/'IN (mmol|L)'!$V$18)</f>
        <v>5.9</v>
      </c>
      <c r="J11" s="1151">
        <f>IF('IN (mmol|L)'!M11="",AVERAGE(G11:I11),'IN (mmol|L)'!M11/'IN (mmol|L)'!$V$18)</f>
        <v>5.8</v>
      </c>
      <c r="K11" s="1151">
        <f>IF('IN (mmol|L)'!N11="",AVERAGE(H11:J11),'IN (mmol|L)'!N11/'IN (mmol|L)'!$V$18)</f>
        <v>6.5</v>
      </c>
      <c r="L11" s="1151">
        <f>IF('IN (mmol|L)'!O11="",AVERAGE(I11:K11),'IN (mmol|L)'!O11/'IN (mmol|L)'!$V$18)</f>
        <v>6.6</v>
      </c>
      <c r="M11" s="1151">
        <f>IF('IN (mmol|L)'!P11="",AVERAGE(J11:L11),'IN (mmol|L)'!P11/'IN (mmol|L)'!$V$18)</f>
        <v>6.5</v>
      </c>
      <c r="N11" s="1151">
        <f>IF('IN (mmol|L)'!Q11="",AVERAGE(K11:M11),'IN (mmol|L)'!Q11/'IN (mmol|L)'!$V$18)</f>
        <v>6.5333333333333341</v>
      </c>
      <c r="O11" s="1152">
        <f>IF('IN (mmol|L)'!E34="",AVERAGE(L11:N11),'IN (mmol|L)'!E34/'IN (mmol|L)'!$V$41)</f>
        <v>5.8</v>
      </c>
      <c r="P11" s="1153">
        <f>IF('IN (mmol|L)'!F34="",AVERAGE(M11:O11),'IN (mmol|L)'!F34/'IN (mmol|L)'!$V$41)</f>
        <v>6.1</v>
      </c>
      <c r="Q11" s="1153">
        <f>IF('IN (mmol|L)'!G34="",AVERAGE(N11:P11),'IN (mmol|L)'!G34/'IN (mmol|L)'!$V$41)</f>
        <v>6.1444444444444448</v>
      </c>
      <c r="R11" s="1153">
        <f>IF('IN (mmol|L)'!H34="",AVERAGE(O11:Q11),'IN (mmol|L)'!H34/'IN (mmol|L)'!$V$41)</f>
        <v>6.0148148148148151</v>
      </c>
      <c r="S11" s="1153">
        <f>IF('IN (mmol|L)'!I34="",AVERAGE(P11:R11),'IN (mmol|L)'!I34/'IN (mmol|L)'!$V$41)</f>
        <v>6.0864197530864201</v>
      </c>
      <c r="T11" s="1153">
        <f>IF('IN (mmol|L)'!J34="",AVERAGE(Q11:S11),'IN (mmol|L)'!J34/'IN (mmol|L)'!$V$41)</f>
        <v>6.0818930041152264</v>
      </c>
      <c r="U11" s="1153">
        <f>IF('IN (mmol|L)'!K34="",AVERAGE(R11:T11),'IN (mmol|L)'!K34/'IN (mmol|L)'!$V$41)</f>
        <v>6.0610425240054866</v>
      </c>
      <c r="V11" s="1153">
        <f>IF('IN (mmol|L)'!L34="",AVERAGE(S11:U11),'IN (mmol|L)'!L34/'IN (mmol|L)'!$V$41)</f>
        <v>6.076451760402378</v>
      </c>
      <c r="W11" s="1153">
        <f>IF('IN (mmol|L)'!M34="",AVERAGE(T11:V11),'IN (mmol|L)'!M34/'IN (mmol|L)'!$V$41)</f>
        <v>6.0731290961743634</v>
      </c>
      <c r="X11" s="1153">
        <f>IF('IN (mmol|L)'!N34="",AVERAGE(U11:W11),'IN (mmol|L)'!N34/'IN (mmol|L)'!$V$41)</f>
        <v>6.070207793527409</v>
      </c>
      <c r="Y11" s="1153">
        <f>IF('IN (mmol|L)'!O34="",AVERAGE(V11:X11),'IN (mmol|L)'!O34/'IN (mmol|L)'!$V$41)</f>
        <v>6.0732628833680495</v>
      </c>
      <c r="Z11" s="1153">
        <f>IF('IN (mmol|L)'!P34="",AVERAGE(W11:Y11),'IN (mmol|L)'!P34/'IN (mmol|L)'!$V$41)</f>
        <v>6.0721999243566067</v>
      </c>
      <c r="AA11" s="1154">
        <f>IF('IN (mmol|L)'!Q34="",AVERAGE(X11:Z11),'IN (mmol|L)'!Q34/'IN (mmol|L)'!$V$41)</f>
        <v>6.0718902004173545</v>
      </c>
      <c r="AB11" s="1155">
        <f>IF('IN (mmol|L)'!E57="",AVERAGE(Y11:AA11),'IN (mmol|L)'!E57/'IN (mmol|L)'!$V$64)</f>
        <v>6.0724510027140033</v>
      </c>
      <c r="AC11" s="1156">
        <f>IF('IN (mmol|L)'!F57="",AVERAGE(Z11:AB11),'IN (mmol|L)'!F57/'IN (mmol|L)'!$V$64)</f>
        <v>6.0721803758293218</v>
      </c>
      <c r="AD11" s="1156">
        <f>IF('IN (mmol|L)'!G57="",AVERAGE(AA11:AC11),'IN (mmol|L)'!G57/'IN (mmol|L)'!$V$64)</f>
        <v>6.0721738596535602</v>
      </c>
      <c r="AE11" s="1156">
        <f>IF('IN (mmol|L)'!H57="",AVERAGE(AB11:AD11),'IN (mmol|L)'!H57/'IN (mmol|L)'!$V$64)</f>
        <v>6.0722684127322948</v>
      </c>
      <c r="AF11" s="1156">
        <f>IF('IN (mmol|L)'!I57="",AVERAGE(AC11:AE11),'IN (mmol|L)'!I57/'IN (mmol|L)'!$V$64)</f>
        <v>6.0722075494050598</v>
      </c>
      <c r="AG11" s="1156">
        <f>IF('IN (mmol|L)'!J57="",AVERAGE(AD11:AF11),'IN (mmol|L)'!J57/'IN (mmol|L)'!$V$64)</f>
        <v>6.0722166072636385</v>
      </c>
      <c r="AH11" s="1156">
        <f>IF('IN (mmol|L)'!K57="",AVERAGE(AE11:AG11),'IN (mmol|L)'!K57/'IN (mmol|L)'!$V$64)</f>
        <v>6.072230856466998</v>
      </c>
      <c r="AI11" s="1156">
        <f>IF('IN (mmol|L)'!L57="",AVERAGE(AF11:AH11),'IN (mmol|L)'!L57/'IN (mmol|L)'!$V$64)</f>
        <v>6.0722183377118988</v>
      </c>
      <c r="AJ11" s="1156">
        <f>IF('IN (mmol|L)'!M57="",AVERAGE(AG11:AI11),'IN (mmol|L)'!M57/'IN (mmol|L)'!$V$64)</f>
        <v>6.0722219338141779</v>
      </c>
      <c r="AK11" s="1156">
        <f>IF('IN (mmol|L)'!N57="",AVERAGE(AH11:AJ11),'IN (mmol|L)'!N57/'IN (mmol|L)'!$V$64)</f>
        <v>6.0722237093310243</v>
      </c>
      <c r="AL11" s="1156">
        <f>IF('IN (mmol|L)'!O57="",AVERAGE(AI11:AK11),'IN (mmol|L)'!O57/'IN (mmol|L)'!$V$64)</f>
        <v>6.0722213269523664</v>
      </c>
      <c r="AM11" s="1156">
        <f>IF('IN (mmol|L)'!P57="",AVERAGE(AJ11:AL11),'IN (mmol|L)'!P57/'IN (mmol|L)'!$V$64)</f>
        <v>6.0722223233658568</v>
      </c>
      <c r="AN11" s="1157">
        <f>IF('IN (mmol|L)'!Q57="",AVERAGE(AK11:AM11),'IN (mmol|L)'!Q57/'IN (mmol|L)'!$V$64)</f>
        <v>6.0722224532164155</v>
      </c>
      <c r="AO11" s="1158">
        <f>IF('IN (mmol|L)'!E80="",AVERAGE(AL11:AN11),'IN (mmol|L)'!E80/'IN (mmol|L)'!$V$87)</f>
        <v>6.0722220345115465</v>
      </c>
      <c r="AP11" s="1159">
        <f>IF('IN (mmol|L)'!F80="",AVERAGE(AM11:AO11),'IN (mmol|L)'!F80/'IN (mmol|L)'!$V$87)</f>
        <v>6.0722222703646063</v>
      </c>
      <c r="AQ11" s="1159">
        <f>IF('IN (mmol|L)'!G80="",AVERAGE(AN11:AP11),'IN (mmol|L)'!G80/'IN (mmol|L)'!$V$87)</f>
        <v>6.0722222526975225</v>
      </c>
      <c r="AR11" s="1159">
        <f>IF('IN (mmol|L)'!H80="",AVERAGE(AO11:AQ11),'IN (mmol|L)'!H80/'IN (mmol|L)'!$V$87)</f>
        <v>6.0722221858578918</v>
      </c>
      <c r="AS11" s="1159">
        <f>IF('IN (mmol|L)'!I80="",AVERAGE(AP11:AR11),'IN (mmol|L)'!I80/'IN (mmol|L)'!$V$87)</f>
        <v>6.0722222363066729</v>
      </c>
      <c r="AT11" s="1159">
        <f>IF('IN (mmol|L)'!J80="",AVERAGE(AQ11:AS11),'IN (mmol|L)'!J80/'IN (mmol|L)'!$V$87)</f>
        <v>6.0722222249540287</v>
      </c>
      <c r="AU11" s="1159">
        <f>IF('IN (mmol|L)'!K80="",AVERAGE(AR11:AT11),'IN (mmol|L)'!K80/'IN (mmol|L)'!$V$87)</f>
        <v>6.0722222157061978</v>
      </c>
      <c r="AV11" s="1159">
        <f>IF('IN (mmol|L)'!L80="",AVERAGE(AS11:AU11),'IN (mmol|L)'!L80/'IN (mmol|L)'!$V$87)</f>
        <v>6.0722222256556329</v>
      </c>
      <c r="AW11" s="1159">
        <f>IF('IN (mmol|L)'!M80="",AVERAGE(AT11:AV11),'IN (mmol|L)'!M80/'IN (mmol|L)'!$V$87)</f>
        <v>6.0722222221052862</v>
      </c>
      <c r="AX11" s="1159">
        <f>IF('IN (mmol|L)'!N80="",AVERAGE(AU11:AW11),'IN (mmol|L)'!N80/'IN (mmol|L)'!$V$87)</f>
        <v>6.0722222211557053</v>
      </c>
      <c r="AY11" s="1159">
        <f>IF('IN (mmol|L)'!O80="",AVERAGE(AV11:AX11),'IN (mmol|L)'!O80/'IN (mmol|L)'!$V$87)</f>
        <v>6.0722222229722078</v>
      </c>
      <c r="AZ11" s="1159">
        <f>IF('IN (mmol|L)'!P80="",AVERAGE(AW11:AY11),'IN (mmol|L)'!P80/'IN (mmol|L)'!$V$87)</f>
        <v>6.0722222220777331</v>
      </c>
      <c r="BA11" s="1160">
        <f>IF('IN (mmol|L)'!Q80="",AVERAGE(AX11:AZ11),'IN (mmol|L)'!Q80/'IN (mmol|L)'!$V$87)</f>
        <v>6.0722222220685493</v>
      </c>
      <c r="BB11" s="1187">
        <f t="shared" si="2"/>
        <v>6.0842592592573164</v>
      </c>
      <c r="BC11" s="1188">
        <f t="shared" si="6"/>
        <v>0.23149113995837234</v>
      </c>
      <c r="BD11" s="1187">
        <f t="shared" si="3"/>
        <v>5.6212769793405712</v>
      </c>
      <c r="BE11" s="1189">
        <f t="shared" si="4"/>
        <v>6.5472415391740615</v>
      </c>
      <c r="BF11" s="1193">
        <f>IF('IN (mmol|L)'!E104="",'IN (mmol|L)'!$R104/'IN (mmol|L)'!$V$111,'IN (mmol|L)'!E104/'IN (mmol|L)'!$V$111)</f>
        <v>5.2777777777777777</v>
      </c>
      <c r="BG11" s="1194">
        <f>IF('IN (mmol|L)'!F104="",'IN (mmol|L)'!$R104/'IN (mmol|L)'!$V$111,'IN (mmol|L)'!F104/'IN (mmol|L)'!$V$111)</f>
        <v>5.5555555555555554</v>
      </c>
      <c r="BH11" s="1194">
        <f>IF('IN (mmol|L)'!G104="",AVERAGE(BF11:BG11),'IN (mmol|L)'!G104/'IN (mmol|L)'!$V$111)</f>
        <v>5.9</v>
      </c>
      <c r="BI11" s="1194">
        <f>IF('IN (mmol|L)'!H104="",AVERAGE(BG11:BH11),'IN (mmol|L)'!H104/'IN (mmol|L)'!$V$111)</f>
        <v>5.8</v>
      </c>
      <c r="BJ11" s="1194">
        <f>IF('IN (mmol|L)'!I104="",AVERAGE(BH11:BI11),'IN (mmol|L)'!I104/'IN (mmol|L)'!$V$111)</f>
        <v>6.5</v>
      </c>
      <c r="BK11" s="1194">
        <f>IF('IN (mmol|L)'!J104="",AVERAGE(BI11:BJ11),'IN (mmol|L)'!J104/'IN (mmol|L)'!$V$111)</f>
        <v>6.6</v>
      </c>
      <c r="BL11" s="1194">
        <f>IF('IN (mmol|L)'!K104="",AVERAGE(BJ11:BK11),'IN (mmol|L)'!K104/'IN (mmol|L)'!$V$111)</f>
        <v>6.5</v>
      </c>
      <c r="BM11" s="1194">
        <f>IF('IN (mmol|L)'!L104="",AVERAGE(BK11:BL11),'IN (mmol|L)'!L104/'IN (mmol|L)'!$V$111)</f>
        <v>6.55</v>
      </c>
      <c r="BN11" s="1194">
        <f>IF('IN (mmol|L)'!M104="",AVERAGE(BL11:BM11),'IN (mmol|L)'!M104/'IN (mmol|L)'!$V$111)</f>
        <v>5.8</v>
      </c>
      <c r="BO11" s="1194">
        <f>IF('IN (mmol|L)'!N104="",AVERAGE(BM11:BN11),'IN (mmol|L)'!N104/'IN (mmol|L)'!$V$111)</f>
        <v>6.1</v>
      </c>
      <c r="BP11" s="473">
        <f t="shared" si="5"/>
        <v>6.6319528619528683</v>
      </c>
      <c r="BQ11" s="473">
        <f t="shared" si="5"/>
        <v>6.8084511784511506</v>
      </c>
      <c r="BR11" s="473">
        <f t="shared" si="5"/>
        <v>6.9849494949494328</v>
      </c>
    </row>
    <row r="12" spans="1:71">
      <c r="A12" s="3" t="str">
        <f>'IN (mmol|L)'!D12</f>
        <v>Früh</v>
      </c>
      <c r="B12" s="1162">
        <f>IF('IN (mmol|L)'!E12="",'IN (mmol|L)'!$R12/'IN (mmol|L)'!$V$18,'IN (mmol|L)'!E12/'IN (mmol|L)'!$V$18)</f>
        <v>6.166666666666667</v>
      </c>
      <c r="C12" s="1163">
        <f>IF('IN (mmol|L)'!F12="",'IN (mmol|L)'!$R12/'IN (mmol|L)'!$V$18,'IN (mmol|L)'!F12/'IN (mmol|L)'!$V$18)</f>
        <v>6.1111111111111107</v>
      </c>
      <c r="D12" s="1151">
        <f>IF('IN (mmol|L)'!G12="",AVERAGE(B12:C12),'IN (mmol|L)'!G12/'IN (mmol|L)'!$V$18)</f>
        <v>6</v>
      </c>
      <c r="E12" s="1151">
        <f>IF('IN (mmol|L)'!H12="",AVERAGE(B12:D12),'IN (mmol|L)'!H12/'IN (mmol|L)'!$V$18)</f>
        <v>6.2222222222222223</v>
      </c>
      <c r="F12" s="1151">
        <f>IF('IN (mmol|L)'!I12="",AVERAGE(C12:E12),'IN (mmol|L)'!I12/'IN (mmol|L)'!$V$18)</f>
        <v>6</v>
      </c>
      <c r="G12" s="1151">
        <f>IF('IN (mmol|L)'!J12="",AVERAGE(D12:F12),'IN (mmol|L)'!J12/'IN (mmol|L)'!$V$18)</f>
        <v>6.2777777777777777</v>
      </c>
      <c r="H12" s="1151">
        <f>IF('IN (mmol|L)'!K12="",AVERAGE(E12:G12),'IN (mmol|L)'!K12/'IN (mmol|L)'!$V$18)</f>
        <v>6.2222222222222223</v>
      </c>
      <c r="I12" s="1151">
        <f>IF('IN (mmol|L)'!L12="",AVERAGE(F12:H12),'IN (mmol|L)'!L12/'IN (mmol|L)'!$V$18)</f>
        <v>6.166666666666667</v>
      </c>
      <c r="J12" s="1151">
        <f>IF('IN (mmol|L)'!M12="",AVERAGE(G12:I12),'IN (mmol|L)'!M12/'IN (mmol|L)'!$V$18)</f>
        <v>6.2222222222222223</v>
      </c>
      <c r="K12" s="1151">
        <f>IF('IN (mmol|L)'!N12="",AVERAGE(H12:J12),'IN (mmol|L)'!N12/'IN (mmol|L)'!$V$18)</f>
        <v>6</v>
      </c>
      <c r="L12" s="1151">
        <f>IF('IN (mmol|L)'!O12="",AVERAGE(I12:K12),'IN (mmol|L)'!O12/'IN (mmol|L)'!$V$18)</f>
        <v>6.2</v>
      </c>
      <c r="M12" s="1151">
        <f>IF('IN (mmol|L)'!P12="",AVERAGE(J12:L12),'IN (mmol|L)'!P12/'IN (mmol|L)'!$V$18)</f>
        <v>6.1407407407407399</v>
      </c>
      <c r="N12" s="1151">
        <f>IF('IN (mmol|L)'!Q12="",AVERAGE(K12:M12),'IN (mmol|L)'!Q12/'IN (mmol|L)'!$V$18)</f>
        <v>6.1135802469135792</v>
      </c>
      <c r="O12" s="1152">
        <f>IF('IN (mmol|L)'!E35="",AVERAGE(L12:N12),'IN (mmol|L)'!E35/'IN (mmol|L)'!$V$41)</f>
        <v>6.2</v>
      </c>
      <c r="P12" s="1153">
        <f>IF('IN (mmol|L)'!F35="",AVERAGE(M12:O12),'IN (mmol|L)'!F35/'IN (mmol|L)'!$V$41)</f>
        <v>6.3</v>
      </c>
      <c r="Q12" s="1153">
        <f>IF('IN (mmol|L)'!G35="",AVERAGE(N12:P12),'IN (mmol|L)'!G35/'IN (mmol|L)'!$V$41)</f>
        <v>6.2045267489711931</v>
      </c>
      <c r="R12" s="1153">
        <f>IF('IN (mmol|L)'!H35="",AVERAGE(O12:Q12),'IN (mmol|L)'!H35/'IN (mmol|L)'!$V$41)</f>
        <v>6.2348422496570644</v>
      </c>
      <c r="S12" s="1153">
        <f>IF('IN (mmol|L)'!I35="",AVERAGE(P12:R12),'IN (mmol|L)'!I35/'IN (mmol|L)'!$V$41)</f>
        <v>6.246456332876086</v>
      </c>
      <c r="T12" s="1153">
        <f>IF('IN (mmol|L)'!J35="",AVERAGE(Q12:S12),'IN (mmol|L)'!J35/'IN (mmol|L)'!$V$41)</f>
        <v>6.2286084438347809</v>
      </c>
      <c r="U12" s="1153">
        <f>IF('IN (mmol|L)'!K35="",AVERAGE(R12:T12),'IN (mmol|L)'!K35/'IN (mmol|L)'!$V$41)</f>
        <v>6.2366356754559762</v>
      </c>
      <c r="V12" s="1153">
        <f>IF('IN (mmol|L)'!L35="",AVERAGE(S12:U12),'IN (mmol|L)'!L35/'IN (mmol|L)'!$V$41)</f>
        <v>6.2372334840556141</v>
      </c>
      <c r="W12" s="1153">
        <f>IF('IN (mmol|L)'!M35="",AVERAGE(T12:V12),'IN (mmol|L)'!M35/'IN (mmol|L)'!$V$41)</f>
        <v>6.2341592011154567</v>
      </c>
      <c r="X12" s="1153">
        <f>IF('IN (mmol|L)'!N35="",AVERAGE(U12:W12),'IN (mmol|L)'!N35/'IN (mmol|L)'!$V$41)</f>
        <v>6.2360094535423487</v>
      </c>
      <c r="Y12" s="1153">
        <f>IF('IN (mmol|L)'!O35="",AVERAGE(V12:X12),'IN (mmol|L)'!O35/'IN (mmol|L)'!$V$41)</f>
        <v>6.2358007129044735</v>
      </c>
      <c r="Z12" s="1153">
        <f>IF('IN (mmol|L)'!P35="",AVERAGE(W12:Y12),'IN (mmol|L)'!P35/'IN (mmol|L)'!$V$41)</f>
        <v>6.2353231225207599</v>
      </c>
      <c r="AA12" s="1154">
        <f>IF('IN (mmol|L)'!Q35="",AVERAGE(X12:Z12),'IN (mmol|L)'!Q35/'IN (mmol|L)'!$V$41)</f>
        <v>6.235711096322528</v>
      </c>
      <c r="AB12" s="1155">
        <f>IF('IN (mmol|L)'!E58="",AVERAGE(Y12:AA12),'IN (mmol|L)'!E58/'IN (mmol|L)'!$V$64)</f>
        <v>6.2356116439159202</v>
      </c>
      <c r="AC12" s="1156">
        <f>IF('IN (mmol|L)'!F58="",AVERAGE(Z12:AB12),'IN (mmol|L)'!F58/'IN (mmol|L)'!$V$64)</f>
        <v>6.2355486209197366</v>
      </c>
      <c r="AD12" s="1156">
        <f>IF('IN (mmol|L)'!G58="",AVERAGE(AA12:AC12),'IN (mmol|L)'!G58/'IN (mmol|L)'!$V$64)</f>
        <v>6.2356237870527282</v>
      </c>
      <c r="AE12" s="1156">
        <f>IF('IN (mmol|L)'!H58="",AVERAGE(AB12:AD12),'IN (mmol|L)'!H58/'IN (mmol|L)'!$V$64)</f>
        <v>6.2355946839627947</v>
      </c>
      <c r="AF12" s="1156">
        <f>IF('IN (mmol|L)'!I58="",AVERAGE(AC12:AE12),'IN (mmol|L)'!I58/'IN (mmol|L)'!$V$64)</f>
        <v>6.2355890306450865</v>
      </c>
      <c r="AG12" s="1156">
        <f>IF('IN (mmol|L)'!J58="",AVERAGE(AD12:AF12),'IN (mmol|L)'!J58/'IN (mmol|L)'!$V$64)</f>
        <v>6.2356025005535365</v>
      </c>
      <c r="AH12" s="1156">
        <f>IF('IN (mmol|L)'!K58="",AVERAGE(AE12:AG12),'IN (mmol|L)'!K58/'IN (mmol|L)'!$V$64)</f>
        <v>6.2355954050538065</v>
      </c>
      <c r="AI12" s="1156">
        <f>IF('IN (mmol|L)'!L58="",AVERAGE(AF12:AH12),'IN (mmol|L)'!L58/'IN (mmol|L)'!$V$64)</f>
        <v>6.2355956454174768</v>
      </c>
      <c r="AJ12" s="1156">
        <f>IF('IN (mmol|L)'!M58="",AVERAGE(AG12:AI12),'IN (mmol|L)'!M58/'IN (mmol|L)'!$V$64)</f>
        <v>6.2355978503416063</v>
      </c>
      <c r="AK12" s="1156">
        <f>IF('IN (mmol|L)'!N58="",AVERAGE(AH12:AJ12),'IN (mmol|L)'!N58/'IN (mmol|L)'!$V$64)</f>
        <v>6.2355963002709629</v>
      </c>
      <c r="AL12" s="1156">
        <f>IF('IN (mmol|L)'!O58="",AVERAGE(AI12:AK12),'IN (mmol|L)'!O58/'IN (mmol|L)'!$V$64)</f>
        <v>6.2355965986766817</v>
      </c>
      <c r="AM12" s="1156">
        <f>IF('IN (mmol|L)'!P58="",AVERAGE(AJ12:AL12),'IN (mmol|L)'!P58/'IN (mmol|L)'!$V$64)</f>
        <v>6.23559691642975</v>
      </c>
      <c r="AN12" s="1157">
        <f>IF('IN (mmol|L)'!Q58="",AVERAGE(AK12:AM12),'IN (mmol|L)'!Q58/'IN (mmol|L)'!$V$64)</f>
        <v>6.2355966051257985</v>
      </c>
      <c r="AO12" s="1164">
        <f>IF('IN (mmol|L)'!E81="",AVERAGE(AL12:AN12),'IN (mmol|L)'!E81/'IN (mmol|L)'!$V$87)</f>
        <v>6.2355967067440767</v>
      </c>
      <c r="AP12" s="1159">
        <f>IF('IN (mmol|L)'!F81="",AVERAGE(AM12:AO12),'IN (mmol|L)'!F81/'IN (mmol|L)'!$V$87)</f>
        <v>6.2355967427665417</v>
      </c>
      <c r="AQ12" s="1159">
        <f>IF('IN (mmol|L)'!G81="",AVERAGE(AN12:AP12),'IN (mmol|L)'!G81/'IN (mmol|L)'!$V$87)</f>
        <v>6.2355966848788063</v>
      </c>
      <c r="AR12" s="1159">
        <f>IF('IN (mmol|L)'!H81="",AVERAGE(AO12:AQ12),'IN (mmol|L)'!H81/'IN (mmol|L)'!$V$87)</f>
        <v>6.2355967114631419</v>
      </c>
      <c r="AS12" s="1159">
        <f>IF('IN (mmol|L)'!I81="",AVERAGE(AP12:AR12),'IN (mmol|L)'!I81/'IN (mmol|L)'!$V$87)</f>
        <v>6.2355967130361636</v>
      </c>
      <c r="AT12" s="1159">
        <f>IF('IN (mmol|L)'!J81="",AVERAGE(AQ12:AS12),'IN (mmol|L)'!J81/'IN (mmol|L)'!$V$87)</f>
        <v>6.2355967031260375</v>
      </c>
      <c r="AU12" s="1159">
        <f>IF('IN (mmol|L)'!K81="",AVERAGE(AR12:AT12),'IN (mmol|L)'!K81/'IN (mmol|L)'!$V$87)</f>
        <v>6.2355967092084477</v>
      </c>
      <c r="AV12" s="1159">
        <f>IF('IN (mmol|L)'!L81="",AVERAGE(AS12:AU12),'IN (mmol|L)'!L81/'IN (mmol|L)'!$V$87)</f>
        <v>6.2355967084568826</v>
      </c>
      <c r="AW12" s="1159">
        <f>IF('IN (mmol|L)'!M81="",AVERAGE(AT12:AV12),'IN (mmol|L)'!M81/'IN (mmol|L)'!$V$87)</f>
        <v>6.2355967069304556</v>
      </c>
      <c r="AX12" s="1159">
        <f>IF('IN (mmol|L)'!N81="",AVERAGE(AU12:AW12),'IN (mmol|L)'!N81/'IN (mmol|L)'!$V$87)</f>
        <v>6.235596708198595</v>
      </c>
      <c r="AY12" s="1159">
        <f>IF('IN (mmol|L)'!O81="",AVERAGE(AV12:AX12),'IN (mmol|L)'!O81/'IN (mmol|L)'!$V$87)</f>
        <v>6.2355967078619772</v>
      </c>
      <c r="AZ12" s="1159">
        <f>IF('IN (mmol|L)'!P81="",AVERAGE(AW12:AY12),'IN (mmol|L)'!P81/'IN (mmol|L)'!$V$87)</f>
        <v>6.2355967076636754</v>
      </c>
      <c r="BA12" s="1160">
        <f>IF('IN (mmol|L)'!Q81="",AVERAGE(AX12:AZ12),'IN (mmol|L)'!Q81/'IN (mmol|L)'!$V$87)</f>
        <v>6.2355967079080825</v>
      </c>
      <c r="BB12" s="1190">
        <f t="shared" si="2"/>
        <v>6.2121926770078524</v>
      </c>
      <c r="BC12" s="1191">
        <f t="shared" si="6"/>
        <v>6.2159858380437687E-2</v>
      </c>
      <c r="BD12" s="1190">
        <f t="shared" si="3"/>
        <v>6.087872960246977</v>
      </c>
      <c r="BE12" s="1192">
        <f t="shared" si="4"/>
        <v>6.3365123937687278</v>
      </c>
      <c r="BF12" s="1195">
        <f>IF('IN (mmol|L)'!E105="",'IN (mmol|L)'!$R105/'IN (mmol|L)'!$V$111,'IN (mmol|L)'!E105/'IN (mmol|L)'!$V$111)</f>
        <v>6.2777777777777777</v>
      </c>
      <c r="BG12" s="1196">
        <f>IF('IN (mmol|L)'!F105="",'IN (mmol|L)'!$R105/'IN (mmol|L)'!$V$111,'IN (mmol|L)'!F105/'IN (mmol|L)'!$V$111)</f>
        <v>6.2222222222222223</v>
      </c>
      <c r="BH12" s="1194">
        <f>IF('IN (mmol|L)'!G105="",AVERAGE(BF12:BG12),'IN (mmol|L)'!G105/'IN (mmol|L)'!$V$111)</f>
        <v>6.25</v>
      </c>
      <c r="BI12" s="1194">
        <f>IF('IN (mmol|L)'!H105="",AVERAGE(BG12:BH12),'IN (mmol|L)'!H105/'IN (mmol|L)'!$V$111)</f>
        <v>6.2361111111111107</v>
      </c>
      <c r="BJ12" s="1194">
        <f>IF('IN (mmol|L)'!I105="",AVERAGE(BH12:BI12),'IN (mmol|L)'!I105/'IN (mmol|L)'!$V$111)</f>
        <v>6</v>
      </c>
      <c r="BK12" s="1194">
        <f>IF('IN (mmol|L)'!J105="",AVERAGE(BI12:BJ12),'IN (mmol|L)'!J105/'IN (mmol|L)'!$V$111)</f>
        <v>6.2</v>
      </c>
      <c r="BL12" s="1194">
        <f>IF('IN (mmol|L)'!K105="",AVERAGE(BJ12:BK12),'IN (mmol|L)'!K105/'IN (mmol|L)'!$V$111)</f>
        <v>6.1</v>
      </c>
      <c r="BM12" s="1194">
        <f>IF('IN (mmol|L)'!L105="",AVERAGE(BK12:BL12),'IN (mmol|L)'!L105/'IN (mmol|L)'!$V$111)</f>
        <v>6.15</v>
      </c>
      <c r="BN12" s="1194">
        <f>IF('IN (mmol|L)'!M105="",AVERAGE(BL12:BM12),'IN (mmol|L)'!M105/'IN (mmol|L)'!$V$111)</f>
        <v>6.2</v>
      </c>
      <c r="BO12" s="1194">
        <f>IF('IN (mmol|L)'!N105="",AVERAGE(BM12:BN12),'IN (mmol|L)'!N105/'IN (mmol|L)'!$V$111)</f>
        <v>6.3</v>
      </c>
      <c r="BP12" s="473">
        <f t="shared" si="5"/>
        <v>6.1674579124579125</v>
      </c>
      <c r="BQ12" s="473">
        <f t="shared" si="5"/>
        <v>6.1594107744107802</v>
      </c>
      <c r="BR12" s="473">
        <f t="shared" si="5"/>
        <v>6.1513636363636408</v>
      </c>
    </row>
    <row r="13" spans="1:71">
      <c r="A13" s="4" t="s">
        <v>53</v>
      </c>
      <c r="B13" s="1165">
        <f>TRIMMEAN(B4:B12,0.25)</f>
        <v>6.9285714285714279</v>
      </c>
      <c r="C13" s="1165">
        <f t="shared" ref="C13:O13" si="7">TRIMMEAN(C4:C12,0.25)</f>
        <v>7.3650793650793656</v>
      </c>
      <c r="D13" s="1165">
        <f t="shared" si="7"/>
        <v>7.0714285714285712</v>
      </c>
      <c r="E13" s="1165">
        <f t="shared" si="7"/>
        <v>6.9682539682539684</v>
      </c>
      <c r="F13" s="1165">
        <f t="shared" si="7"/>
        <v>8.0952380952380949</v>
      </c>
      <c r="G13" s="1165">
        <f t="shared" si="7"/>
        <v>7.087301587301587</v>
      </c>
      <c r="H13" s="1165">
        <f t="shared" si="7"/>
        <v>7.746031746031746</v>
      </c>
      <c r="I13" s="1165">
        <f t="shared" si="7"/>
        <v>6.9238095238095232</v>
      </c>
      <c r="J13" s="1165">
        <f t="shared" si="7"/>
        <v>7.3746031746031742</v>
      </c>
      <c r="K13" s="1165">
        <f t="shared" si="7"/>
        <v>7.0518518518518523</v>
      </c>
      <c r="L13" s="1165">
        <f t="shared" si="7"/>
        <v>6.8857142857142861</v>
      </c>
      <c r="M13" s="1165">
        <f t="shared" si="7"/>
        <v>8.124867724867725</v>
      </c>
      <c r="N13" s="1165">
        <f t="shared" si="7"/>
        <v>6.0686067019400349</v>
      </c>
      <c r="O13" s="1166">
        <f t="shared" si="7"/>
        <v>6.1825396825396828</v>
      </c>
      <c r="P13" s="1166">
        <f t="shared" ref="P13:BA13" si="8">TRIMMEAN(P4:P12,0.25)</f>
        <v>7.2285714285714286</v>
      </c>
      <c r="Q13" s="1166">
        <f t="shared" si="8"/>
        <v>6.4815990593768378</v>
      </c>
      <c r="R13" s="1166">
        <f t="shared" si="8"/>
        <v>6.6192631785224378</v>
      </c>
      <c r="S13" s="1166">
        <f t="shared" si="8"/>
        <v>6.7717159840616628</v>
      </c>
      <c r="T13" s="1166">
        <f t="shared" si="8"/>
        <v>6.6241927406536458</v>
      </c>
      <c r="U13" s="1166">
        <f t="shared" si="8"/>
        <v>6.6717239677459164</v>
      </c>
      <c r="V13" s="1166">
        <f t="shared" si="8"/>
        <v>6.689210897487075</v>
      </c>
      <c r="W13" s="1166">
        <f t="shared" si="8"/>
        <v>6.6617092019622124</v>
      </c>
      <c r="X13" s="1166">
        <f t="shared" si="8"/>
        <v>6.6742146890650682</v>
      </c>
      <c r="Y13" s="1166">
        <f t="shared" si="8"/>
        <v>6.6750449295047858</v>
      </c>
      <c r="Z13" s="1166">
        <f t="shared" si="8"/>
        <v>6.6703229401773561</v>
      </c>
      <c r="AA13" s="1166">
        <f t="shared" si="8"/>
        <v>6.6731941862490691</v>
      </c>
      <c r="AB13" s="1167">
        <f t="shared" si="8"/>
        <v>6.6728540186437373</v>
      </c>
      <c r="AC13" s="1167">
        <f t="shared" si="8"/>
        <v>6.6721237150233872</v>
      </c>
      <c r="AD13" s="1167">
        <f t="shared" si="8"/>
        <v>6.6727239733053993</v>
      </c>
      <c r="AE13" s="1167">
        <f t="shared" si="8"/>
        <v>6.6725672356575059</v>
      </c>
      <c r="AF13" s="1167">
        <f t="shared" si="8"/>
        <v>6.6724716413287641</v>
      </c>
      <c r="AG13" s="1167">
        <f t="shared" si="8"/>
        <v>6.6725876167638898</v>
      </c>
      <c r="AH13" s="1167">
        <f t="shared" si="8"/>
        <v>6.6725421645833878</v>
      </c>
      <c r="AI13" s="1167">
        <f t="shared" si="8"/>
        <v>6.6725338075586809</v>
      </c>
      <c r="AJ13" s="1167">
        <f t="shared" si="8"/>
        <v>6.6725545296353195</v>
      </c>
      <c r="AK13" s="1167">
        <f t="shared" si="8"/>
        <v>6.6725435005924627</v>
      </c>
      <c r="AL13" s="1167">
        <f t="shared" si="8"/>
        <v>6.6725439459288198</v>
      </c>
      <c r="AM13" s="1167">
        <f t="shared" si="8"/>
        <v>6.6725473253855343</v>
      </c>
      <c r="AN13" s="1167">
        <f t="shared" si="8"/>
        <v>6.6725449239689398</v>
      </c>
      <c r="AO13" s="1168">
        <f t="shared" si="8"/>
        <v>6.6725453984277641</v>
      </c>
      <c r="AP13" s="1168">
        <f t="shared" si="8"/>
        <v>6.6725458825940782</v>
      </c>
      <c r="AQ13" s="1168">
        <f t="shared" si="8"/>
        <v>6.6725454016635934</v>
      </c>
      <c r="AR13" s="1168">
        <f t="shared" si="8"/>
        <v>6.6725455608951449</v>
      </c>
      <c r="AS13" s="1168">
        <f t="shared" si="8"/>
        <v>6.6725456150509403</v>
      </c>
      <c r="AT13" s="1168">
        <f t="shared" si="8"/>
        <v>6.6725455258698929</v>
      </c>
      <c r="AU13" s="1168">
        <f t="shared" si="8"/>
        <v>6.6725455672719916</v>
      </c>
      <c r="AV13" s="1168">
        <f t="shared" si="8"/>
        <v>6.6725455693976086</v>
      </c>
      <c r="AW13" s="1168">
        <f t="shared" si="8"/>
        <v>6.6725455541798322</v>
      </c>
      <c r="AX13" s="1168">
        <f t="shared" si="8"/>
        <v>6.6725455636164765</v>
      </c>
      <c r="AY13" s="1168">
        <f t="shared" si="8"/>
        <v>6.6725455623979721</v>
      </c>
      <c r="AZ13" s="1168">
        <f t="shared" si="8"/>
        <v>6.6725455600647603</v>
      </c>
      <c r="BA13" s="1168">
        <f t="shared" si="8"/>
        <v>6.6725455620264018</v>
      </c>
      <c r="BB13" s="1"/>
      <c r="BC13" s="1"/>
      <c r="BD13" s="1"/>
      <c r="BE13" s="1"/>
      <c r="BF13" s="1197">
        <f t="shared" ref="BF13:BR13" si="9">AVERAGE(BF4:BF12)</f>
        <v>7.4444444444444446</v>
      </c>
      <c r="BG13" s="1198">
        <f t="shared" si="9"/>
        <v>7.833333333333333</v>
      </c>
      <c r="BH13" s="1198">
        <f t="shared" si="9"/>
        <v>7.1055555555555552</v>
      </c>
      <c r="BI13" s="1198">
        <f t="shared" si="9"/>
        <v>7.5706790123456784</v>
      </c>
      <c r="BJ13" s="1198">
        <f t="shared" si="9"/>
        <v>7.25</v>
      </c>
      <c r="BK13" s="1198">
        <f t="shared" si="9"/>
        <v>7.2333333333333325</v>
      </c>
      <c r="BL13" s="1198">
        <f t="shared" si="9"/>
        <v>8.1777777777777771</v>
      </c>
      <c r="BM13" s="1198">
        <f t="shared" si="9"/>
        <v>6.2888888888888888</v>
      </c>
      <c r="BN13" s="1198">
        <f>AVERAGE(BN4:BN12)</f>
        <v>6.4666666666666668</v>
      </c>
      <c r="BO13" s="1198">
        <f>AVERAGE(BO4:BO12)</f>
        <v>7.3222222222222229</v>
      </c>
      <c r="BP13" s="1198">
        <f t="shared" si="9"/>
        <v>6.7593209876543234</v>
      </c>
      <c r="BQ13" s="1198">
        <f t="shared" si="9"/>
        <v>6.6024074074074459</v>
      </c>
      <c r="BR13" s="1199">
        <f t="shared" si="9"/>
        <v>6.4454938271604725</v>
      </c>
    </row>
    <row r="14" spans="1:71">
      <c r="A14" s="8" t="s">
        <v>4</v>
      </c>
      <c r="B14" s="1150">
        <f>MIN(B4:B12)</f>
        <v>4.7777777777777777</v>
      </c>
      <c r="C14" s="1151">
        <f>MIN(C4:C12)</f>
        <v>5.666666666666667</v>
      </c>
      <c r="D14" s="1151">
        <f>MIN(D4:D12)</f>
        <v>6</v>
      </c>
      <c r="E14" s="1151">
        <f>MIN(E4:E12)</f>
        <v>5</v>
      </c>
      <c r="F14" s="1151">
        <f>MIN(F4:F12)</f>
        <v>6</v>
      </c>
      <c r="G14" s="1151">
        <f t="shared" ref="G14:AP14" si="10">MIN(G4:G12)</f>
        <v>5.2777777777777777</v>
      </c>
      <c r="H14" s="1151">
        <f>MIN(H4:H12)</f>
        <v>5.5555555555555554</v>
      </c>
      <c r="I14" s="1151">
        <f t="shared" si="10"/>
        <v>4.8</v>
      </c>
      <c r="J14" s="1151">
        <f>MIN(J4:J12)</f>
        <v>5.8</v>
      </c>
      <c r="K14" s="1151">
        <f>MIN(K4:K12)</f>
        <v>6</v>
      </c>
      <c r="L14" s="1151">
        <f>MIN(L4:L12)</f>
        <v>5</v>
      </c>
      <c r="M14" s="1151">
        <f t="shared" si="10"/>
        <v>6</v>
      </c>
      <c r="N14" s="1169">
        <f t="shared" si="10"/>
        <v>4.5</v>
      </c>
      <c r="O14" s="1152">
        <f t="shared" si="10"/>
        <v>5.2</v>
      </c>
      <c r="P14" s="1153">
        <f t="shared" si="10"/>
        <v>5.9</v>
      </c>
      <c r="Q14" s="1153">
        <f t="shared" si="10"/>
        <v>5.2814814814814817</v>
      </c>
      <c r="R14" s="1153">
        <f t="shared" si="10"/>
        <v>5.5419753086419759</v>
      </c>
      <c r="S14" s="1153">
        <f t="shared" si="10"/>
        <v>5.6078189300411525</v>
      </c>
      <c r="T14" s="1153">
        <f t="shared" si="10"/>
        <v>5.4770919067215367</v>
      </c>
      <c r="U14" s="1153">
        <f t="shared" si="10"/>
        <v>5.542295381801555</v>
      </c>
      <c r="V14" s="1153">
        <f t="shared" si="10"/>
        <v>5.5424020728547481</v>
      </c>
      <c r="W14" s="1153">
        <f>MIN(W4:W12)</f>
        <v>5.5205964537926135</v>
      </c>
      <c r="X14" s="1153">
        <f>MIN(X4:X12)</f>
        <v>5.5350979694829725</v>
      </c>
      <c r="Y14" s="1153">
        <f>MIN(Y4:Y12)</f>
        <v>5.5326988320434447</v>
      </c>
      <c r="Z14" s="1153">
        <f t="shared" si="10"/>
        <v>5.5294644184396766</v>
      </c>
      <c r="AA14" s="1154">
        <f t="shared" si="10"/>
        <v>5.5324204066553646</v>
      </c>
      <c r="AB14" s="1155">
        <f t="shared" si="10"/>
        <v>5.5315278857128289</v>
      </c>
      <c r="AC14" s="1156">
        <f t="shared" si="10"/>
        <v>5.5311375702692906</v>
      </c>
      <c r="AD14" s="1156">
        <f t="shared" si="10"/>
        <v>5.5316952875458272</v>
      </c>
      <c r="AE14" s="1156">
        <f t="shared" si="10"/>
        <v>5.531453581175982</v>
      </c>
      <c r="AF14" s="1156">
        <f t="shared" si="10"/>
        <v>5.5314288129970324</v>
      </c>
      <c r="AG14" s="1156">
        <f t="shared" si="10"/>
        <v>5.5315258939062808</v>
      </c>
      <c r="AH14" s="1156">
        <f t="shared" si="10"/>
        <v>5.5314694293597642</v>
      </c>
      <c r="AI14" s="1156">
        <f t="shared" si="10"/>
        <v>5.5314747120876921</v>
      </c>
      <c r="AJ14" s="1156">
        <f>MIN(AJ4:AJ12)</f>
        <v>5.5314900117845793</v>
      </c>
      <c r="AK14" s="1156">
        <f>MIN(AK4:AK12)</f>
        <v>5.5314780510773458</v>
      </c>
      <c r="AL14" s="1156">
        <f>MIN(AL4:AL12)</f>
        <v>5.5314809249832058</v>
      </c>
      <c r="AM14" s="1156">
        <f t="shared" si="10"/>
        <v>5.5314829959483767</v>
      </c>
      <c r="AN14" s="1157">
        <f t="shared" si="10"/>
        <v>5.53148065733631</v>
      </c>
      <c r="AO14" s="1158">
        <f t="shared" si="10"/>
        <v>5.5314815260892978</v>
      </c>
      <c r="AP14" s="1159">
        <f t="shared" si="10"/>
        <v>5.5314817264579945</v>
      </c>
      <c r="AQ14" s="1159">
        <f t="shared" ref="AQ14:BA14" si="11">MIN(AQ4:AQ12)</f>
        <v>5.5314813032945338</v>
      </c>
      <c r="AR14" s="1159">
        <f t="shared" si="11"/>
        <v>5.5314815186139414</v>
      </c>
      <c r="AS14" s="1159">
        <f t="shared" si="11"/>
        <v>5.531481516122156</v>
      </c>
      <c r="AT14" s="1159">
        <f t="shared" si="11"/>
        <v>5.5314814460102104</v>
      </c>
      <c r="AU14" s="1159">
        <f t="shared" si="11"/>
        <v>5.5314814935821026</v>
      </c>
      <c r="AV14" s="1159">
        <f t="shared" si="11"/>
        <v>5.5314814852381566</v>
      </c>
      <c r="AW14" s="1159">
        <f>MIN(AW4:AW12)</f>
        <v>5.5314814749434902</v>
      </c>
      <c r="AX14" s="1159">
        <f>MIN(AX4:AX12)</f>
        <v>5.5314814845879168</v>
      </c>
      <c r="AY14" s="1159">
        <f>MIN(AY4:AY12)</f>
        <v>5.5314814815898545</v>
      </c>
      <c r="AZ14" s="1159">
        <f t="shared" si="11"/>
        <v>5.5314814803737535</v>
      </c>
      <c r="BA14" s="1160">
        <f t="shared" si="11"/>
        <v>5.5314814821838416</v>
      </c>
      <c r="BB14" s="1"/>
      <c r="BC14" s="1"/>
      <c r="BD14" s="1"/>
      <c r="BE14" s="1"/>
      <c r="BF14" s="1193">
        <f>MIN(BF4:BF12)</f>
        <v>5.2777777777777777</v>
      </c>
      <c r="BG14" s="1194">
        <f>MIN(BG4:BG12)</f>
        <v>5.5555555555555554</v>
      </c>
      <c r="BH14" s="1194">
        <f t="shared" ref="BH14:BR14" si="12">MIN(BH4:BH12)</f>
        <v>4.8</v>
      </c>
      <c r="BI14" s="1194">
        <f t="shared" si="12"/>
        <v>5.8</v>
      </c>
      <c r="BJ14" s="1194">
        <f t="shared" si="12"/>
        <v>6</v>
      </c>
      <c r="BK14" s="1194">
        <f t="shared" si="12"/>
        <v>5</v>
      </c>
      <c r="BL14" s="1194">
        <f t="shared" si="12"/>
        <v>6</v>
      </c>
      <c r="BM14" s="1194">
        <f t="shared" si="12"/>
        <v>4.5</v>
      </c>
      <c r="BN14" s="1194">
        <f>MIN(BN4:BN12)</f>
        <v>5.2</v>
      </c>
      <c r="BO14" s="1194">
        <f>MIN(BO4:BO12)</f>
        <v>5.9</v>
      </c>
      <c r="BP14" s="1194">
        <f>MIN(BP4:BP12)</f>
        <v>4.0813468013466263</v>
      </c>
      <c r="BQ14" s="1194">
        <f t="shared" si="12"/>
        <v>3.2855218855220301</v>
      </c>
      <c r="BR14" s="1200">
        <f t="shared" si="12"/>
        <v>2.4896969696965243</v>
      </c>
    </row>
    <row r="15" spans="1:71">
      <c r="A15" s="9" t="s">
        <v>18</v>
      </c>
      <c r="B15" s="1162">
        <f>MAX(B4:B12)</f>
        <v>10.611111111111111</v>
      </c>
      <c r="C15" s="1163">
        <f>MAX(C4:C12)</f>
        <v>10.722222222222221</v>
      </c>
      <c r="D15" s="1163">
        <f>MAX(D4:D12)</f>
        <v>10.388888888888889</v>
      </c>
      <c r="E15" s="1163">
        <f>MAX(E4:E12)</f>
        <v>11.944444444444445</v>
      </c>
      <c r="F15" s="1163">
        <f t="shared" ref="F15:AP15" si="13">MAX(F4:F12)</f>
        <v>10.666666666666666</v>
      </c>
      <c r="G15" s="1163">
        <f t="shared" ref="G15:L15" si="14">MAX(G4:G12)</f>
        <v>12.111111111111111</v>
      </c>
      <c r="H15" s="1163">
        <f t="shared" si="14"/>
        <v>10.722222222222221</v>
      </c>
      <c r="I15" s="1163">
        <f t="shared" si="14"/>
        <v>10.6</v>
      </c>
      <c r="J15" s="1163">
        <f t="shared" si="14"/>
        <v>10.7</v>
      </c>
      <c r="K15" s="1163">
        <f t="shared" si="14"/>
        <v>10.3</v>
      </c>
      <c r="L15" s="1163">
        <f t="shared" si="14"/>
        <v>11.9</v>
      </c>
      <c r="M15" s="1163">
        <f t="shared" si="13"/>
        <v>10.8</v>
      </c>
      <c r="N15" s="1170">
        <f t="shared" si="13"/>
        <v>9.6</v>
      </c>
      <c r="O15" s="1171">
        <f t="shared" si="13"/>
        <v>10.133333333333333</v>
      </c>
      <c r="P15" s="1172">
        <f t="shared" si="13"/>
        <v>9.4</v>
      </c>
      <c r="Q15" s="1172">
        <f t="shared" si="13"/>
        <v>9.7111111111111104</v>
      </c>
      <c r="R15" s="1172">
        <f t="shared" si="13"/>
        <v>9.7481481481481467</v>
      </c>
      <c r="S15" s="1172">
        <f t="shared" si="13"/>
        <v>9.6197530864197525</v>
      </c>
      <c r="T15" s="1172">
        <f t="shared" si="13"/>
        <v>9.6930041152263353</v>
      </c>
      <c r="U15" s="1172">
        <f t="shared" si="13"/>
        <v>9.6869684499314115</v>
      </c>
      <c r="V15" s="1172">
        <f t="shared" si="13"/>
        <v>9.6665752171925003</v>
      </c>
      <c r="W15" s="1172">
        <f>MAX(W4:W12)</f>
        <v>9.6821825941167479</v>
      </c>
      <c r="X15" s="1172">
        <f>MAX(X4:X12)</f>
        <v>9.6785754204135532</v>
      </c>
      <c r="Y15" s="1172">
        <f>MAX(Y4:Y12)</f>
        <v>9.6757777439076005</v>
      </c>
      <c r="Z15" s="1172">
        <f t="shared" si="13"/>
        <v>9.6788452528126339</v>
      </c>
      <c r="AA15" s="1173">
        <f t="shared" si="13"/>
        <v>9.6777328057112637</v>
      </c>
      <c r="AB15" s="1174">
        <f t="shared" si="13"/>
        <v>9.6774519341438321</v>
      </c>
      <c r="AC15" s="1175">
        <f t="shared" si="13"/>
        <v>9.6780099975559093</v>
      </c>
      <c r="AD15" s="1175">
        <f t="shared" si="13"/>
        <v>9.6777315791370029</v>
      </c>
      <c r="AE15" s="1175">
        <f t="shared" si="13"/>
        <v>9.6777311702789159</v>
      </c>
      <c r="AF15" s="1175">
        <f t="shared" si="13"/>
        <v>9.6778242489906106</v>
      </c>
      <c r="AG15" s="1175">
        <f t="shared" si="13"/>
        <v>9.6777623328021765</v>
      </c>
      <c r="AH15" s="1175">
        <f t="shared" si="13"/>
        <v>9.6777725840239004</v>
      </c>
      <c r="AI15" s="1175">
        <f t="shared" si="13"/>
        <v>9.6777863886055613</v>
      </c>
      <c r="AJ15" s="1175">
        <f>MAX(AJ4:AJ12)</f>
        <v>9.6777737684772127</v>
      </c>
      <c r="AK15" s="1175">
        <f>MAX(AK4:AK12)</f>
        <v>9.6777775803688915</v>
      </c>
      <c r="AL15" s="1175">
        <f>MAX(AL4:AL12)</f>
        <v>9.6777792458172218</v>
      </c>
      <c r="AM15" s="1175">
        <f t="shared" si="13"/>
        <v>9.6777768648877753</v>
      </c>
      <c r="AN15" s="1176">
        <f t="shared" si="13"/>
        <v>9.6777778970246295</v>
      </c>
      <c r="AO15" s="1177">
        <f t="shared" si="13"/>
        <v>9.6777780025765416</v>
      </c>
      <c r="AP15" s="1178">
        <f t="shared" si="13"/>
        <v>9.6777775881629822</v>
      </c>
      <c r="AQ15" s="1178">
        <f t="shared" ref="AQ15:BA15" si="15">MAX(AQ4:AQ12)</f>
        <v>9.6777778292547172</v>
      </c>
      <c r="AR15" s="1178">
        <f t="shared" si="15"/>
        <v>9.6777778066647482</v>
      </c>
      <c r="AS15" s="1178">
        <f t="shared" si="15"/>
        <v>9.6777777413608153</v>
      </c>
      <c r="AT15" s="1178">
        <f t="shared" si="15"/>
        <v>9.6777777924267596</v>
      </c>
      <c r="AU15" s="1178">
        <f t="shared" si="15"/>
        <v>9.6777777801507749</v>
      </c>
      <c r="AV15" s="1178">
        <f t="shared" si="15"/>
        <v>9.6777777713127833</v>
      </c>
      <c r="AW15" s="1178">
        <f>MAX(AW4:AW12)</f>
        <v>9.6777777812967738</v>
      </c>
      <c r="AX15" s="1178">
        <f>MAX(AX4:AX12)</f>
        <v>9.6777777775867779</v>
      </c>
      <c r="AY15" s="1178">
        <f>MAX(AY4:AY12)</f>
        <v>9.6777777767321123</v>
      </c>
      <c r="AZ15" s="1178">
        <f t="shared" si="15"/>
        <v>9.6777777785385553</v>
      </c>
      <c r="BA15" s="1179">
        <f t="shared" si="15"/>
        <v>9.6777777776191485</v>
      </c>
      <c r="BB15" s="1"/>
      <c r="BC15" s="1"/>
      <c r="BD15" s="1"/>
      <c r="BE15" s="1"/>
      <c r="BF15" s="1195">
        <f>MAX(BF4:BF12)</f>
        <v>12.111111111111111</v>
      </c>
      <c r="BG15" s="1196">
        <f t="shared" ref="BG15:BR15" si="16">MAX(BG4:BG12)</f>
        <v>10.722222222222221</v>
      </c>
      <c r="BH15" s="1196">
        <f t="shared" si="16"/>
        <v>10.6</v>
      </c>
      <c r="BI15" s="1196">
        <f t="shared" si="16"/>
        <v>10.7</v>
      </c>
      <c r="BJ15" s="1196">
        <f t="shared" si="16"/>
        <v>10.3</v>
      </c>
      <c r="BK15" s="1196">
        <f t="shared" si="16"/>
        <v>11.9</v>
      </c>
      <c r="BL15" s="1196">
        <f t="shared" si="16"/>
        <v>10.8</v>
      </c>
      <c r="BM15" s="1196">
        <f t="shared" si="16"/>
        <v>9.6</v>
      </c>
      <c r="BN15" s="1196">
        <f>MAX(BN4:BN12)</f>
        <v>10.050000000000001</v>
      </c>
      <c r="BO15" s="1196">
        <f>MAX(BO4:BO12)</f>
        <v>9.4</v>
      </c>
      <c r="BP15" s="1196">
        <f>MAX(BP4:BP12)</f>
        <v>9.3694276094275892</v>
      </c>
      <c r="BQ15" s="1196">
        <f t="shared" si="16"/>
        <v>9.2430976430975988</v>
      </c>
      <c r="BR15" s="1201">
        <f t="shared" si="16"/>
        <v>9.1167676767677222</v>
      </c>
    </row>
    <row r="16" spans="1:71" s="1" customFormat="1">
      <c r="A16" s="3" t="s">
        <v>58</v>
      </c>
      <c r="B16" s="1074">
        <f>B13</f>
        <v>6.9285714285714279</v>
      </c>
      <c r="C16" s="1074">
        <f>AVERAGE(B13:C13)</f>
        <v>7.1468253968253972</v>
      </c>
      <c r="D16" s="1074">
        <f>AVERAGE(B13:D13)</f>
        <v>7.1216931216931227</v>
      </c>
      <c r="E16" s="1074">
        <f t="shared" ref="E16:N16" si="17">AVERAGE(B13:E13)</f>
        <v>7.0833333333333339</v>
      </c>
      <c r="F16" s="1074">
        <f t="shared" si="17"/>
        <v>7.375</v>
      </c>
      <c r="G16" s="1074">
        <f t="shared" si="17"/>
        <v>7.3055555555555554</v>
      </c>
      <c r="H16" s="1074">
        <f t="shared" si="17"/>
        <v>7.4742063492063497</v>
      </c>
      <c r="I16" s="1074">
        <f t="shared" si="17"/>
        <v>7.4630952380952378</v>
      </c>
      <c r="J16" s="1074">
        <f t="shared" si="17"/>
        <v>7.2829365079365074</v>
      </c>
      <c r="K16" s="1074">
        <f t="shared" si="17"/>
        <v>7.2740740740740737</v>
      </c>
      <c r="L16" s="1074">
        <f>AVERAGE(I13:L13)</f>
        <v>7.0589947089947085</v>
      </c>
      <c r="M16" s="1074">
        <f t="shared" si="17"/>
        <v>7.3592592592592592</v>
      </c>
      <c r="N16" s="1074">
        <f t="shared" si="17"/>
        <v>7.0327601410934744</v>
      </c>
      <c r="O16" s="1074">
        <f>AVERAGE(L13:P13)</f>
        <v>6.8980599647266319</v>
      </c>
      <c r="P16" s="1074">
        <f>AVERAGE(M13:P13)</f>
        <v>6.9011463844797181</v>
      </c>
      <c r="Q16" s="1074">
        <f t="shared" ref="Q16:BA16" si="18">AVERAGE(N13:Q13)</f>
        <v>6.4903292181069956</v>
      </c>
      <c r="R16" s="1074">
        <f t="shared" si="18"/>
        <v>6.6279933372525965</v>
      </c>
      <c r="S16" s="1074">
        <f t="shared" si="18"/>
        <v>6.7752874126330926</v>
      </c>
      <c r="T16" s="1074">
        <f t="shared" si="18"/>
        <v>6.6241927406536458</v>
      </c>
      <c r="U16" s="1074">
        <f t="shared" si="18"/>
        <v>6.6717239677459155</v>
      </c>
      <c r="V16" s="1074">
        <f t="shared" si="18"/>
        <v>6.689210897487075</v>
      </c>
      <c r="W16" s="1074">
        <f t="shared" si="18"/>
        <v>6.6617092019622124</v>
      </c>
      <c r="X16" s="1074">
        <f t="shared" si="18"/>
        <v>6.6742146890650673</v>
      </c>
      <c r="Y16" s="1074">
        <f t="shared" si="18"/>
        <v>6.6750449295047849</v>
      </c>
      <c r="Z16" s="1074">
        <f t="shared" si="18"/>
        <v>6.6703229401773561</v>
      </c>
      <c r="AA16" s="1074">
        <f t="shared" si="18"/>
        <v>6.67319418624907</v>
      </c>
      <c r="AB16" s="1074">
        <f t="shared" si="18"/>
        <v>6.6728540186437373</v>
      </c>
      <c r="AC16" s="1074">
        <f t="shared" si="18"/>
        <v>6.6721237150233872</v>
      </c>
      <c r="AD16" s="1074">
        <f t="shared" si="18"/>
        <v>6.6727239733053976</v>
      </c>
      <c r="AE16" s="1074">
        <f t="shared" si="18"/>
        <v>6.6725672356575076</v>
      </c>
      <c r="AF16" s="1074">
        <f t="shared" si="18"/>
        <v>6.6724716413287641</v>
      </c>
      <c r="AG16" s="1074">
        <f t="shared" si="18"/>
        <v>6.6725876167638898</v>
      </c>
      <c r="AH16" s="1074">
        <f t="shared" si="18"/>
        <v>6.672542164583386</v>
      </c>
      <c r="AI16" s="1074">
        <f t="shared" si="18"/>
        <v>6.6725338075586809</v>
      </c>
      <c r="AJ16" s="1074">
        <f t="shared" si="18"/>
        <v>6.6725545296353204</v>
      </c>
      <c r="AK16" s="1074">
        <f t="shared" si="18"/>
        <v>6.6725435005924627</v>
      </c>
      <c r="AL16" s="1074">
        <f t="shared" si="18"/>
        <v>6.6725439459288198</v>
      </c>
      <c r="AM16" s="1074">
        <f t="shared" si="18"/>
        <v>6.6725473253855334</v>
      </c>
      <c r="AN16" s="1074">
        <f t="shared" si="18"/>
        <v>6.6725449239689389</v>
      </c>
      <c r="AO16" s="1074">
        <f t="shared" si="18"/>
        <v>6.672545398427765</v>
      </c>
      <c r="AP16" s="1074">
        <f t="shared" si="18"/>
        <v>6.6725458825940791</v>
      </c>
      <c r="AQ16" s="1074">
        <f t="shared" si="18"/>
        <v>6.6725454016635943</v>
      </c>
      <c r="AR16" s="1074">
        <f t="shared" si="18"/>
        <v>6.6725455608951449</v>
      </c>
      <c r="AS16" s="1074">
        <f t="shared" si="18"/>
        <v>6.6725456150509386</v>
      </c>
      <c r="AT16" s="1074">
        <f t="shared" si="18"/>
        <v>6.6725455258698929</v>
      </c>
      <c r="AU16" s="1074">
        <f t="shared" si="18"/>
        <v>6.6725455672719924</v>
      </c>
      <c r="AV16" s="1074">
        <f t="shared" si="18"/>
        <v>6.6725455693976086</v>
      </c>
      <c r="AW16" s="1074">
        <f t="shared" si="18"/>
        <v>6.6725455541798322</v>
      </c>
      <c r="AX16" s="1074">
        <f t="shared" si="18"/>
        <v>6.6725455636164774</v>
      </c>
      <c r="AY16" s="1074">
        <f t="shared" si="18"/>
        <v>6.6725455623979721</v>
      </c>
      <c r="AZ16" s="1074">
        <f t="shared" si="18"/>
        <v>6.6725455600647603</v>
      </c>
      <c r="BA16" s="1074">
        <f t="shared" si="18"/>
        <v>6.6725455620264018</v>
      </c>
      <c r="BF16" s="1074">
        <f>BF13</f>
        <v>7.4444444444444446</v>
      </c>
      <c r="BG16" s="1074">
        <f>AVERAGE(BF13:BG13)</f>
        <v>7.6388888888888893</v>
      </c>
      <c r="BH16" s="1074">
        <f>AVERAGE(BF13:BH13)</f>
        <v>7.4611111111111112</v>
      </c>
      <c r="BI16" s="1074">
        <f>AVERAGE(BF13:BI13)</f>
        <v>7.4885030864197528</v>
      </c>
      <c r="BJ16" s="1074">
        <f>AVERAGE(BG13:BJ13)</f>
        <v>7.4398919753086421</v>
      </c>
      <c r="BK16" s="1074">
        <f>AVERAGE(BH13:BK13)</f>
        <v>7.2898919753086417</v>
      </c>
      <c r="BL16" s="1074">
        <f>AVERAGE(BI13:BL13)</f>
        <v>7.5579475308641975</v>
      </c>
      <c r="BM16" s="1074">
        <f>AVERAGE(BJ13:BM13)</f>
        <v>7.2374999999999998</v>
      </c>
      <c r="BN16" s="1074">
        <f>AVERAGE(BH13:BN13)</f>
        <v>7.1561287477954147</v>
      </c>
      <c r="BO16" s="1074">
        <f>AVERAGE(BI13:BO13)</f>
        <v>7.1870811287477965</v>
      </c>
      <c r="BP16" s="1074">
        <f>AVERAGE(BJ13:BP13)</f>
        <v>7.0711728395061737</v>
      </c>
      <c r="BQ16" s="1074">
        <f>AVERAGE(BK13:BQ13)</f>
        <v>6.9786596119929518</v>
      </c>
      <c r="BR16" s="1074">
        <f>AVERAGE(BL13:BR13)</f>
        <v>6.8661111111111142</v>
      </c>
    </row>
    <row r="17" spans="1:70" s="523" customFormat="1">
      <c r="A17" s="3"/>
      <c r="B17" s="1074">
        <f>((B16)+86)/33.3</f>
        <v>2.7906477906477911</v>
      </c>
      <c r="C17" s="1074">
        <f t="shared" ref="C17:BA17" si="19">((C16)+86)/33.3</f>
        <v>2.7972019638686305</v>
      </c>
      <c r="D17" s="1074">
        <f t="shared" si="19"/>
        <v>2.7964472408916858</v>
      </c>
      <c r="E17" s="1074">
        <f t="shared" si="19"/>
        <v>2.7952952952952952</v>
      </c>
      <c r="F17" s="1074">
        <f t="shared" si="19"/>
        <v>2.8040540540540544</v>
      </c>
      <c r="G17" s="1074">
        <f t="shared" si="19"/>
        <v>2.8019686353019688</v>
      </c>
      <c r="H17" s="1074">
        <f t="shared" si="19"/>
        <v>2.8070332236998907</v>
      </c>
      <c r="I17" s="1074">
        <f t="shared" si="19"/>
        <v>2.8066995566995567</v>
      </c>
      <c r="J17" s="1074">
        <f t="shared" si="19"/>
        <v>2.8012893846227183</v>
      </c>
      <c r="K17" s="1074">
        <f t="shared" si="19"/>
        <v>2.8010232454676904</v>
      </c>
      <c r="L17" s="1074">
        <f t="shared" si="19"/>
        <v>2.794564405675517</v>
      </c>
      <c r="M17" s="1074">
        <f t="shared" si="19"/>
        <v>2.8035813591369152</v>
      </c>
      <c r="N17" s="1074">
        <f t="shared" si="19"/>
        <v>2.7937765808136183</v>
      </c>
      <c r="O17" s="1074">
        <f t="shared" si="19"/>
        <v>2.7897315304722712</v>
      </c>
      <c r="P17" s="1074">
        <f t="shared" si="19"/>
        <v>2.7898242157501421</v>
      </c>
      <c r="Q17" s="1074">
        <f t="shared" si="19"/>
        <v>2.7774873639071171</v>
      </c>
      <c r="R17" s="1074">
        <f t="shared" si="19"/>
        <v>2.7816214215391168</v>
      </c>
      <c r="S17" s="1074">
        <f t="shared" si="19"/>
        <v>2.7860446670460388</v>
      </c>
      <c r="T17" s="1074">
        <f t="shared" si="19"/>
        <v>2.7815072895091184</v>
      </c>
      <c r="U17" s="1074">
        <f t="shared" si="19"/>
        <v>2.782934653686064</v>
      </c>
      <c r="V17" s="1074">
        <f t="shared" si="19"/>
        <v>2.7834597867113238</v>
      </c>
      <c r="W17" s="1074">
        <f t="shared" si="19"/>
        <v>2.7826339099688355</v>
      </c>
      <c r="X17" s="1074">
        <f t="shared" si="19"/>
        <v>2.7830094501220741</v>
      </c>
      <c r="Y17" s="1074">
        <f t="shared" si="19"/>
        <v>2.7830343822674108</v>
      </c>
      <c r="Z17" s="1074">
        <f t="shared" si="19"/>
        <v>2.7828925807861071</v>
      </c>
      <c r="AA17" s="1074">
        <f t="shared" si="19"/>
        <v>2.7829788043918646</v>
      </c>
      <c r="AB17" s="1074">
        <f t="shared" si="19"/>
        <v>2.7829685891484606</v>
      </c>
      <c r="AC17" s="1074">
        <f t="shared" si="19"/>
        <v>2.7829466581088109</v>
      </c>
      <c r="AD17" s="1074">
        <f t="shared" si="19"/>
        <v>2.7829646838830451</v>
      </c>
      <c r="AE17" s="1074">
        <f t="shared" si="19"/>
        <v>2.7829599770467723</v>
      </c>
      <c r="AF17" s="1074">
        <f t="shared" si="19"/>
        <v>2.7829571063462097</v>
      </c>
      <c r="AG17" s="1074">
        <f t="shared" si="19"/>
        <v>2.7829605890920091</v>
      </c>
      <c r="AH17" s="1074">
        <f t="shared" si="19"/>
        <v>2.7829592241616634</v>
      </c>
      <c r="AI17" s="1074">
        <f t="shared" si="19"/>
        <v>2.7829589731999604</v>
      </c>
      <c r="AJ17" s="1074">
        <f t="shared" si="19"/>
        <v>2.7829595954845443</v>
      </c>
      <c r="AK17" s="1074">
        <f t="shared" si="19"/>
        <v>2.7829592642820562</v>
      </c>
      <c r="AL17" s="1074">
        <f t="shared" si="19"/>
        <v>2.7829592776555203</v>
      </c>
      <c r="AM17" s="1074">
        <f t="shared" si="19"/>
        <v>2.7829593791407072</v>
      </c>
      <c r="AN17" s="1074">
        <f t="shared" si="19"/>
        <v>2.7829593070260947</v>
      </c>
      <c r="AO17" s="1074">
        <f t="shared" si="19"/>
        <v>2.7829593212741073</v>
      </c>
      <c r="AP17" s="1074">
        <f t="shared" si="19"/>
        <v>2.7829593358136364</v>
      </c>
      <c r="AQ17" s="1074">
        <f t="shared" si="19"/>
        <v>2.7829593213712793</v>
      </c>
      <c r="AR17" s="1074">
        <f t="shared" si="19"/>
        <v>2.7829593261530077</v>
      </c>
      <c r="AS17" s="1074">
        <f t="shared" si="19"/>
        <v>2.7829593277793077</v>
      </c>
      <c r="AT17" s="1074">
        <f t="shared" si="19"/>
        <v>2.7829593251011984</v>
      </c>
      <c r="AU17" s="1074">
        <f t="shared" si="19"/>
        <v>2.7829593263445047</v>
      </c>
      <c r="AV17" s="1074">
        <f t="shared" si="19"/>
        <v>2.7829593264083368</v>
      </c>
      <c r="AW17" s="1074">
        <f t="shared" si="19"/>
        <v>2.7829593259513468</v>
      </c>
      <c r="AX17" s="1074">
        <f t="shared" si="19"/>
        <v>2.7829593262347294</v>
      </c>
      <c r="AY17" s="1074">
        <f t="shared" si="19"/>
        <v>2.7829593261981374</v>
      </c>
      <c r="AZ17" s="1074">
        <f t="shared" si="19"/>
        <v>2.7829593261280712</v>
      </c>
      <c r="BA17" s="1074">
        <f t="shared" si="19"/>
        <v>2.7829593261869792</v>
      </c>
      <c r="BB17" s="1514" t="s">
        <v>159</v>
      </c>
      <c r="BC17" s="1514"/>
      <c r="BF17" s="1074"/>
      <c r="BG17" s="1074"/>
      <c r="BH17" s="1074"/>
      <c r="BI17" s="1074"/>
      <c r="BJ17" s="1074"/>
      <c r="BK17" s="1074"/>
      <c r="BL17" s="1074"/>
      <c r="BM17" s="1074"/>
      <c r="BN17" s="1074"/>
      <c r="BO17" s="1074"/>
      <c r="BP17" s="1074"/>
      <c r="BQ17" s="1074"/>
      <c r="BR17" s="1074"/>
    </row>
    <row r="18" spans="1:70" s="1" customFormat="1" ht="14" thickBot="1">
      <c r="A18" s="3" t="s">
        <v>30</v>
      </c>
      <c r="B18" s="1074">
        <f t="shared" ref="B18:AN18" si="20">STDEV(B4:B12)</f>
        <v>1.6838873716445837</v>
      </c>
      <c r="C18" s="1074">
        <f t="shared" si="20"/>
        <v>1.7680821645122686</v>
      </c>
      <c r="D18" s="1074">
        <f t="shared" si="20"/>
        <v>1.5198729280506078</v>
      </c>
      <c r="E18" s="1074">
        <f t="shared" si="20"/>
        <v>2.4714591692439609</v>
      </c>
      <c r="F18" s="1074">
        <f t="shared" si="20"/>
        <v>2.016903873407927</v>
      </c>
      <c r="G18" s="1074">
        <f t="shared" si="20"/>
        <v>2.2523992694759523</v>
      </c>
      <c r="H18" s="1074">
        <f t="shared" si="20"/>
        <v>1.8373272993504084</v>
      </c>
      <c r="I18" s="1074">
        <f t="shared" si="20"/>
        <v>1.6718622720757044</v>
      </c>
      <c r="J18" s="1074">
        <f t="shared" si="20"/>
        <v>1.7378038661172055</v>
      </c>
      <c r="K18" s="1074">
        <f t="shared" si="20"/>
        <v>1.4734265333309324</v>
      </c>
      <c r="L18" s="1074">
        <f t="shared" si="20"/>
        <v>2.4171263930543687</v>
      </c>
      <c r="M18" s="1074">
        <f t="shared" si="20"/>
        <v>1.9934234961938133</v>
      </c>
      <c r="N18" s="1074">
        <f t="shared" si="20"/>
        <v>1.5414568781466316</v>
      </c>
      <c r="O18" s="1074">
        <f t="shared" si="20"/>
        <v>1.5696135055889713</v>
      </c>
      <c r="P18" s="1074">
        <f t="shared" si="20"/>
        <v>1.3055437351710746</v>
      </c>
      <c r="Q18" s="1074">
        <f t="shared" si="20"/>
        <v>1.2374157615832264</v>
      </c>
      <c r="R18" s="1074">
        <f t="shared" si="20"/>
        <v>1.235342122686099</v>
      </c>
      <c r="S18" s="1074">
        <f t="shared" si="20"/>
        <v>1.1955312654378476</v>
      </c>
      <c r="T18" s="1074">
        <f t="shared" si="20"/>
        <v>1.2114994710496574</v>
      </c>
      <c r="U18" s="1074">
        <f t="shared" si="20"/>
        <v>1.2096637356674238</v>
      </c>
      <c r="V18" s="1074">
        <f t="shared" si="20"/>
        <v>1.2030735552086691</v>
      </c>
      <c r="W18" s="1074">
        <f t="shared" si="20"/>
        <v>1.2075497740469157</v>
      </c>
      <c r="X18" s="1074">
        <f t="shared" si="20"/>
        <v>1.2066288762174415</v>
      </c>
      <c r="Y18" s="1074">
        <f t="shared" si="20"/>
        <v>1.2056639775207474</v>
      </c>
      <c r="Z18" s="1074">
        <f t="shared" si="20"/>
        <v>1.20658989211754</v>
      </c>
      <c r="AA18" s="1074">
        <f t="shared" si="20"/>
        <v>1.2062898088302245</v>
      </c>
      <c r="AB18" s="1074">
        <f t="shared" si="20"/>
        <v>1.2061784261898203</v>
      </c>
      <c r="AC18" s="1074">
        <f t="shared" si="20"/>
        <v>1.2063516612060394</v>
      </c>
      <c r="AD18" s="1074">
        <f t="shared" si="20"/>
        <v>1.2062731215330342</v>
      </c>
      <c r="AE18" s="1074">
        <f t="shared" si="20"/>
        <v>1.2062676517584265</v>
      </c>
      <c r="AF18" s="1074">
        <f t="shared" si="20"/>
        <v>1.2062974365188186</v>
      </c>
      <c r="AG18" s="1074">
        <f t="shared" si="20"/>
        <v>1.206279395210563</v>
      </c>
      <c r="AH18" s="1074">
        <f t="shared" si="20"/>
        <v>1.2062814920115359</v>
      </c>
      <c r="AI18" s="1074">
        <f t="shared" si="20"/>
        <v>1.2062861063935553</v>
      </c>
      <c r="AJ18" s="1074">
        <f t="shared" si="20"/>
        <v>1.2062823308298241</v>
      </c>
      <c r="AK18" s="1074">
        <f t="shared" si="20"/>
        <v>1.2062833096675398</v>
      </c>
      <c r="AL18" s="1074">
        <f t="shared" si="20"/>
        <v>1.2062839155793026</v>
      </c>
      <c r="AM18" s="1074">
        <f t="shared" si="20"/>
        <v>1.2062831853421985</v>
      </c>
      <c r="AN18" s="1074">
        <f t="shared" si="20"/>
        <v>1.2062834701935059</v>
      </c>
      <c r="AO18" s="1074">
        <f t="shared" ref="AO18:BA18" si="21">STDEV(AO4:AO12)</f>
        <v>1.2062835237034188</v>
      </c>
      <c r="AP18" s="1074">
        <f t="shared" si="21"/>
        <v>1.2062833930790218</v>
      </c>
      <c r="AQ18" s="1074">
        <f t="shared" si="21"/>
        <v>1.2062834623251959</v>
      </c>
      <c r="AR18" s="1074">
        <f t="shared" si="21"/>
        <v>1.2062834597024985</v>
      </c>
      <c r="AS18" s="1074">
        <f t="shared" si="21"/>
        <v>1.2062834383688745</v>
      </c>
      <c r="AT18" s="1074">
        <f t="shared" si="21"/>
        <v>1.20628345346552</v>
      </c>
      <c r="AU18" s="1074">
        <f t="shared" si="21"/>
        <v>1.2062834505122919</v>
      </c>
      <c r="AV18" s="1074">
        <f t="shared" si="21"/>
        <v>1.2062834474489053</v>
      </c>
      <c r="AW18" s="1074">
        <f>STDEV(AW4:AW12)</f>
        <v>1.2062834504755715</v>
      </c>
      <c r="AX18" s="1074">
        <f>STDEV(AX4:AX12)</f>
        <v>1.206283449478919</v>
      </c>
      <c r="AY18" s="1074">
        <f>STDEV(AY4:AY12)</f>
        <v>1.2062834491344632</v>
      </c>
      <c r="AZ18" s="1074">
        <f t="shared" si="21"/>
        <v>1.20628344969632</v>
      </c>
      <c r="BA18" s="1074">
        <f t="shared" si="21"/>
        <v>1.2062834494365704</v>
      </c>
      <c r="BF18" s="1074">
        <f>STDEV(BF4:BF12)</f>
        <v>2.2523992694759523</v>
      </c>
      <c r="BG18" s="1074">
        <f t="shared" ref="BG18:BR18" si="22">STDEV(BG4:BG12)</f>
        <v>1.8373272993504084</v>
      </c>
      <c r="BH18" s="1074">
        <f t="shared" si="22"/>
        <v>1.6662916244696746</v>
      </c>
      <c r="BI18" s="1074">
        <f t="shared" si="22"/>
        <v>1.7364639147697996</v>
      </c>
      <c r="BJ18" s="1074">
        <f t="shared" si="22"/>
        <v>1.4168627315304729</v>
      </c>
      <c r="BK18" s="1074">
        <f t="shared" si="22"/>
        <v>2.4171263930543687</v>
      </c>
      <c r="BL18" s="1074">
        <f t="shared" si="22"/>
        <v>2.0029838852183639</v>
      </c>
      <c r="BM18" s="1074">
        <f t="shared" si="22"/>
        <v>1.5380136901572441</v>
      </c>
      <c r="BN18" s="1074">
        <f>STDEV(BN4:BN12)</f>
        <v>1.5266384640772017</v>
      </c>
      <c r="BO18" s="1074">
        <f>STDEV(BO4:BO12)</f>
        <v>1.3055437351710746</v>
      </c>
      <c r="BP18" s="1074">
        <f>STDEV(BP4:BP12)</f>
        <v>1.4433609558473928</v>
      </c>
      <c r="BQ18" s="1074">
        <f t="shared" si="22"/>
        <v>1.6206122774081331</v>
      </c>
      <c r="BR18" s="1074">
        <f t="shared" si="22"/>
        <v>1.8281250433787943</v>
      </c>
    </row>
    <row r="19" spans="1:70" s="1" customFormat="1" ht="14" thickBot="1">
      <c r="A19" s="3"/>
      <c r="B19" s="1185" t="s">
        <v>173</v>
      </c>
      <c r="C19" s="1183" t="s">
        <v>181</v>
      </c>
      <c r="D19" s="1183" t="s">
        <v>174</v>
      </c>
      <c r="E19" s="1183" t="s">
        <v>175</v>
      </c>
      <c r="F19" s="1183" t="s">
        <v>176</v>
      </c>
      <c r="G19" s="1183" t="s">
        <v>177</v>
      </c>
      <c r="H19" s="1183" t="s">
        <v>178</v>
      </c>
      <c r="I19" s="1183" t="s">
        <v>179</v>
      </c>
      <c r="J19" s="1183" t="s">
        <v>180</v>
      </c>
      <c r="K19" s="1186" t="s">
        <v>182</v>
      </c>
      <c r="L19" s="239"/>
      <c r="M19" s="240"/>
      <c r="N19" s="240"/>
      <c r="O19" s="1185" t="s">
        <v>173</v>
      </c>
      <c r="P19" s="1183" t="s">
        <v>181</v>
      </c>
      <c r="Q19" s="1183" t="s">
        <v>174</v>
      </c>
      <c r="R19" s="1183" t="s">
        <v>175</v>
      </c>
      <c r="S19" s="1183" t="s">
        <v>176</v>
      </c>
      <c r="T19" s="1183" t="s">
        <v>177</v>
      </c>
      <c r="U19" s="1183" t="s">
        <v>178</v>
      </c>
      <c r="V19" s="1183" t="s">
        <v>179</v>
      </c>
      <c r="W19" s="1183" t="s">
        <v>180</v>
      </c>
      <c r="X19" s="1186" t="s">
        <v>182</v>
      </c>
      <c r="Y19" s="239"/>
      <c r="Z19" s="240"/>
      <c r="AA19" s="240"/>
      <c r="AB19" s="1185" t="s">
        <v>173</v>
      </c>
      <c r="AC19" s="1183" t="s">
        <v>181</v>
      </c>
      <c r="AD19" s="1183" t="s">
        <v>174</v>
      </c>
      <c r="AE19" s="1183" t="s">
        <v>175</v>
      </c>
      <c r="AF19" s="1183" t="s">
        <v>176</v>
      </c>
      <c r="AG19" s="1183" t="s">
        <v>177</v>
      </c>
      <c r="AH19" s="1183" t="s">
        <v>178</v>
      </c>
      <c r="AI19" s="1183" t="s">
        <v>179</v>
      </c>
      <c r="AJ19" s="1183" t="s">
        <v>180</v>
      </c>
      <c r="AK19" s="1186" t="s">
        <v>182</v>
      </c>
      <c r="AL19" s="239"/>
      <c r="AM19" s="240"/>
      <c r="AN19" s="240"/>
      <c r="AO19" s="1185" t="s">
        <v>173</v>
      </c>
      <c r="AP19" s="1183" t="s">
        <v>181</v>
      </c>
      <c r="AQ19" s="1183" t="s">
        <v>174</v>
      </c>
      <c r="AR19" s="1183" t="s">
        <v>175</v>
      </c>
      <c r="AS19" s="1183" t="s">
        <v>176</v>
      </c>
      <c r="AT19" s="1183" t="s">
        <v>177</v>
      </c>
      <c r="AU19" s="1183" t="s">
        <v>178</v>
      </c>
      <c r="AV19" s="1183" t="s">
        <v>179</v>
      </c>
      <c r="AW19" s="1183" t="s">
        <v>180</v>
      </c>
      <c r="AX19" s="1186" t="s">
        <v>182</v>
      </c>
      <c r="BF19" s="1185" t="s">
        <v>173</v>
      </c>
      <c r="BG19" s="1183" t="s">
        <v>181</v>
      </c>
      <c r="BH19" s="1183" t="s">
        <v>174</v>
      </c>
      <c r="BI19" s="1183" t="s">
        <v>175</v>
      </c>
      <c r="BJ19" s="1183" t="s">
        <v>176</v>
      </c>
      <c r="BK19" s="1183" t="s">
        <v>177</v>
      </c>
      <c r="BL19" s="1183" t="s">
        <v>178</v>
      </c>
      <c r="BM19" s="1183" t="s">
        <v>179</v>
      </c>
      <c r="BN19" s="1183" t="s">
        <v>180</v>
      </c>
      <c r="BO19" s="1186" t="s">
        <v>182</v>
      </c>
    </row>
    <row r="20" spans="1:70" ht="14" thickBot="1">
      <c r="A20" s="3"/>
      <c r="B20" s="1181">
        <f>COUNTIF(B4:N12,"&gt;14")</f>
        <v>0</v>
      </c>
      <c r="C20" s="1180">
        <f>COUNTIF(B4:N12,"&gt;12,5")-B20</f>
        <v>0</v>
      </c>
      <c r="D20" s="1180">
        <f>COUNTIF(B4:N12,"&gt;11,0")-SUM(B20:C20)</f>
        <v>3</v>
      </c>
      <c r="E20" s="1180">
        <f>COUNTIF(B4:N12,"&gt;9,5")-SUM(B20:D20)</f>
        <v>18</v>
      </c>
      <c r="F20" s="1180">
        <f>COUNTIF(B4:N12,"&gt;8,0")-SUM(B20:E20)</f>
        <v>19</v>
      </c>
      <c r="G20" s="1180">
        <f>COUNTIF(B4:N12,"&gt;6,5")-SUM(B20:F20)</f>
        <v>21</v>
      </c>
      <c r="H20" s="1180">
        <f>COUNTIF(B4:N12,"&gt;5,0")-SUM(B20:G20)</f>
        <v>50</v>
      </c>
      <c r="I20" s="1180">
        <f>COUNTIF(B4:N12,"&gt;3,5")-SUM(B20:H20)</f>
        <v>6</v>
      </c>
      <c r="J20" s="1180">
        <f>COUNTIF(B4:N12,"&gt;2,0")-SUM(B20:I20)</f>
        <v>0</v>
      </c>
      <c r="K20" s="1184">
        <f>COUNTIF(B4:N12,"&gt;0")-SUM(B20:J20)</f>
        <v>0</v>
      </c>
      <c r="L20" s="241"/>
      <c r="M20" s="240"/>
      <c r="N20" s="240"/>
      <c r="O20" s="1181">
        <f>COUNTIF(O4:AA12,"&gt;14")</f>
        <v>0</v>
      </c>
      <c r="P20" s="1180">
        <f>COUNTIF(O4:AA12,"&gt;12,5")-O20</f>
        <v>0</v>
      </c>
      <c r="Q20" s="1180">
        <f>COUNTIF(O4:AA12,"&gt;11,0")-SUM(O20:P20)</f>
        <v>0</v>
      </c>
      <c r="R20" s="1180">
        <f>COUNTIF(O4:AA12,"&gt;9,5")-SUM(O20:Q20)</f>
        <v>12</v>
      </c>
      <c r="S20" s="1180">
        <f>COUNTIF(O4:AA12,"&gt;8,0")-SUM(O20:R20)</f>
        <v>3</v>
      </c>
      <c r="T20" s="1180">
        <f>COUNTIF(O4:AA12,"&gt;6,5")-SUM(O20:S20)</f>
        <v>47</v>
      </c>
      <c r="U20" s="1180">
        <f>COUNTIF(O4:AA12,"&gt;5,0")-SUM(O20:T20)</f>
        <v>55</v>
      </c>
      <c r="V20" s="1180">
        <f>COUNTIF(O4:AA12,"&gt;3,5")-SUM(O20:U20)</f>
        <v>0</v>
      </c>
      <c r="W20" s="1180">
        <f>COUNTIF(O4:AA12,"&gt;2,0")-SUM(O20:V20)</f>
        <v>0</v>
      </c>
      <c r="X20" s="1184">
        <f>COUNTIF(O4:AA12,"&gt;0")-SUM(O20:W20)</f>
        <v>0</v>
      </c>
      <c r="Y20" s="241"/>
      <c r="Z20" s="240"/>
      <c r="AA20" s="240"/>
      <c r="AB20" s="1181">
        <f>COUNTIF(AB4:AN12,"&gt;14")</f>
        <v>0</v>
      </c>
      <c r="AC20" s="1180">
        <f>COUNTIF(AB4:AN12,"&gt;12,5")-AB20</f>
        <v>0</v>
      </c>
      <c r="AD20" s="1180">
        <f>COUNTIF(AB4:AN12,"&gt;11,0")-SUM(AB20:AC20)</f>
        <v>0</v>
      </c>
      <c r="AE20" s="1180">
        <f>COUNTIF(AB4:AN12,"&gt;9,5")-SUM(AB20:AD20)</f>
        <v>13</v>
      </c>
      <c r="AF20" s="1180">
        <f>COUNTIF(AB4:AN12,"&gt;8,0")-SUM(AB20:AE20)</f>
        <v>0</v>
      </c>
      <c r="AG20" s="1180">
        <f>COUNTIF(AB4:AN12,"&gt;6,5")-SUM(AB20:AF20)</f>
        <v>52</v>
      </c>
      <c r="AH20" s="1180">
        <f>COUNTIF(AB4:AN12,"&gt;5,0")-SUM(AB20:AG20)</f>
        <v>52</v>
      </c>
      <c r="AI20" s="1180">
        <f>COUNTIF(AB4:AN12,"&gt;3,5")-SUM(AB20:AH20)</f>
        <v>0</v>
      </c>
      <c r="AJ20" s="1180">
        <f>COUNTIF(AB4:AN12,"&gt;2,0")-SUM(AB20:AI20)</f>
        <v>0</v>
      </c>
      <c r="AK20" s="1184">
        <f>COUNTIF(AB4:AN12,"&gt;0")-SUM(AB20:AJ20)</f>
        <v>0</v>
      </c>
      <c r="AL20" s="241"/>
      <c r="AM20" s="240"/>
      <c r="AN20" s="240"/>
      <c r="AO20" s="1181">
        <f>COUNTIF(AO4:BA12,"&gt;14")</f>
        <v>0</v>
      </c>
      <c r="AP20" s="1180">
        <f>COUNTIF(AO4:BA12,"&gt;12,5")-AO20</f>
        <v>0</v>
      </c>
      <c r="AQ20" s="1180">
        <f>COUNTIF(AO4:BA12,"&gt;11,0")-SUM(AO20:AP20)</f>
        <v>0</v>
      </c>
      <c r="AR20" s="1180">
        <f>COUNTIF(AO4:BA12,"&gt;9,5")-SUM(AO20:AQ20)</f>
        <v>13</v>
      </c>
      <c r="AS20" s="1180">
        <f>COUNTIF(AO4:BA12,"&gt;8,0")-SUM(AO20:AR20)</f>
        <v>0</v>
      </c>
      <c r="AT20" s="1180">
        <f>COUNTIF(AO4:BA12,"&gt;6,5")-SUM(AO20:AS20)</f>
        <v>52</v>
      </c>
      <c r="AU20" s="1180">
        <f>COUNTIF(AO4:BA12,"&gt;5,0")-SUM(AO20:AT20)</f>
        <v>52</v>
      </c>
      <c r="AV20" s="1180">
        <f>COUNTIF(AO4:BA12,"&gt;3,5")-SUM(AO20:AU20)</f>
        <v>0</v>
      </c>
      <c r="AW20" s="1180">
        <f>COUNTIF(AO4:BA12,"&gt;2,0")-SUM(AO20:AV20)</f>
        <v>0</v>
      </c>
      <c r="AX20" s="1184">
        <f>COUNTIF(AO4:BA12,"&gt;0")-SUM(AO20:AW20)</f>
        <v>0</v>
      </c>
      <c r="AY20" s="1"/>
      <c r="AZ20" s="1"/>
      <c r="BA20" s="1"/>
      <c r="BB20" s="1"/>
      <c r="BC20" s="1"/>
      <c r="BD20" s="1"/>
      <c r="BE20" s="1"/>
      <c r="BF20" s="1181">
        <f>COUNTIF(BF4:BR12,"&gt;14")</f>
        <v>0</v>
      </c>
      <c r="BG20" s="1180">
        <f>COUNTIF(BF4:BR12,"&gt;12,5")-BF20</f>
        <v>0</v>
      </c>
      <c r="BH20" s="1180">
        <f>COUNTIF(BF4:BR12,"&gt;11,0")-SUM(BF20:BG20)</f>
        <v>2</v>
      </c>
      <c r="BI20" s="1180">
        <f>COUNTIF(BF4:BR12,"&gt;9,5")-SUM(BF20:BH20)</f>
        <v>12</v>
      </c>
      <c r="BJ20" s="1180">
        <f>COUNTIF(BF4:BR12,"&gt;8,0")-SUM(BF20:BI20)</f>
        <v>17</v>
      </c>
      <c r="BK20" s="1180">
        <f>COUNTIF(BF4:BR12,"&gt;6,5")-SUM(BF20:BJ20)</f>
        <v>29</v>
      </c>
      <c r="BL20" s="1180">
        <f>COUNTIF(BF4:BR12,"&gt;5,0")-SUM(BF20:BK20)</f>
        <v>50</v>
      </c>
      <c r="BM20" s="1180">
        <f>COUNTIF(BF4:BR12,"&gt;3,5")-SUM(BF20:BL20)</f>
        <v>5</v>
      </c>
      <c r="BN20" s="1180">
        <f>COUNTIF(BF4:BR12,"&gt;2,0")-SUM(BF20:BM20)</f>
        <v>2</v>
      </c>
      <c r="BO20" s="1184">
        <f>COUNTIF(BF4:BR12,"&gt;0")-SUM(BF20:BN20)</f>
        <v>0</v>
      </c>
    </row>
    <row r="21" spans="1:70">
      <c r="A21" s="204" t="s">
        <v>8</v>
      </c>
      <c r="B21" s="205">
        <f>'IN (mmol|L)'!E13</f>
        <v>41274</v>
      </c>
      <c r="C21" s="205">
        <f>'IN (mmol|L)'!F13</f>
        <v>41281</v>
      </c>
      <c r="D21" s="205">
        <f>'IN (mmol|L)'!G13</f>
        <v>41288</v>
      </c>
      <c r="E21" s="205">
        <f>'IN (mmol|L)'!H13</f>
        <v>41295</v>
      </c>
      <c r="F21" s="205">
        <f>'IN (mmol|L)'!I13</f>
        <v>41302</v>
      </c>
      <c r="G21" s="205">
        <f>'IN (mmol|L)'!J13</f>
        <v>41309</v>
      </c>
      <c r="H21" s="205">
        <f>'IN (mmol|L)'!K13</f>
        <v>41316</v>
      </c>
      <c r="I21" s="205">
        <f>'IN (mmol|L)'!L13</f>
        <v>41323</v>
      </c>
      <c r="J21" s="205">
        <f>'IN (mmol|L)'!M13</f>
        <v>41330</v>
      </c>
      <c r="K21" s="205">
        <f>'IN (mmol|L)'!N13</f>
        <v>41337</v>
      </c>
      <c r="L21" s="205">
        <f>'IN (mmol|L)'!O13</f>
        <v>41344</v>
      </c>
      <c r="M21" s="205">
        <f>'IN (mmol|L)'!P13</f>
        <v>41351</v>
      </c>
      <c r="N21" s="205">
        <f>'IN (mmol|L)'!Q13</f>
        <v>41358</v>
      </c>
      <c r="O21" s="246">
        <f>'IN (mmol|L)'!E36</f>
        <v>41365</v>
      </c>
      <c r="P21" s="205">
        <f>'IN (mmol|L)'!F36</f>
        <v>41372</v>
      </c>
      <c r="Q21" s="205">
        <f>'IN (mmol|L)'!G36</f>
        <v>41379</v>
      </c>
      <c r="R21" s="205">
        <f>'IN (mmol|L)'!H36</f>
        <v>41386</v>
      </c>
      <c r="S21" s="205">
        <f>'IN (mmol|L)'!I36</f>
        <v>41393</v>
      </c>
      <c r="T21" s="205">
        <f>'IN (mmol|L)'!J36</f>
        <v>41400</v>
      </c>
      <c r="U21" s="205">
        <f>'IN (mmol|L)'!K36</f>
        <v>41407</v>
      </c>
      <c r="V21" s="205">
        <f>'IN (mmol|L)'!L36</f>
        <v>41414</v>
      </c>
      <c r="W21" s="205">
        <f>'IN (mmol|L)'!M36</f>
        <v>41421</v>
      </c>
      <c r="X21" s="205">
        <f>'IN (mmol|L)'!N36</f>
        <v>41428</v>
      </c>
      <c r="Y21" s="205">
        <f>'IN (mmol|L)'!O36</f>
        <v>41435</v>
      </c>
      <c r="Z21" s="205">
        <f>'IN (mmol|L)'!P36</f>
        <v>41442</v>
      </c>
      <c r="AA21" s="205">
        <f>'IN (mmol|L)'!Q36</f>
        <v>41449</v>
      </c>
      <c r="AB21" s="246">
        <f>'IN (mmol|L)'!E59</f>
        <v>41456</v>
      </c>
      <c r="AC21" s="205">
        <f>'IN (mmol|L)'!F59</f>
        <v>41463</v>
      </c>
      <c r="AD21" s="205">
        <f>'IN (mmol|L)'!G59</f>
        <v>41470</v>
      </c>
      <c r="AE21" s="205">
        <f>'IN (mmol|L)'!H59</f>
        <v>41477</v>
      </c>
      <c r="AF21" s="205">
        <f>'IN (mmol|L)'!I59</f>
        <v>41484</v>
      </c>
      <c r="AG21" s="205">
        <f>'IN (mmol|L)'!J59</f>
        <v>41491</v>
      </c>
      <c r="AH21" s="205">
        <f>'IN (mmol|L)'!K59</f>
        <v>41498</v>
      </c>
      <c r="AI21" s="205">
        <f>'IN (mmol|L)'!L59</f>
        <v>41505</v>
      </c>
      <c r="AJ21" s="205">
        <f>'IN (mmol|L)'!M59</f>
        <v>41512</v>
      </c>
      <c r="AK21" s="205">
        <f>'IN (mmol|L)'!N59</f>
        <v>41519</v>
      </c>
      <c r="AL21" s="205">
        <f>'IN (mmol|L)'!O59</f>
        <v>41526</v>
      </c>
      <c r="AM21" s="205">
        <f>'IN (mmol|L)'!P59</f>
        <v>41533</v>
      </c>
      <c r="AN21" s="205">
        <f>'IN (mmol|L)'!Q59</f>
        <v>41540</v>
      </c>
      <c r="AO21" s="246">
        <f>'IN (mmol|L)'!E82</f>
        <v>41547</v>
      </c>
      <c r="AP21" s="205">
        <f>'IN (mmol|L)'!F82</f>
        <v>41554</v>
      </c>
      <c r="AQ21" s="205">
        <f>'IN (mmol|L)'!G82</f>
        <v>41561</v>
      </c>
      <c r="AR21" s="205">
        <f>'IN (mmol|L)'!H82</f>
        <v>41568</v>
      </c>
      <c r="AS21" s="205">
        <f>'IN (mmol|L)'!I82</f>
        <v>41575</v>
      </c>
      <c r="AT21" s="205">
        <f>'IN (mmol|L)'!J82</f>
        <v>41582</v>
      </c>
      <c r="AU21" s="205">
        <f>'IN (mmol|L)'!K82</f>
        <v>41589</v>
      </c>
      <c r="AV21" s="205">
        <f>'IN (mmol|L)'!L82</f>
        <v>41596</v>
      </c>
      <c r="AW21" s="205">
        <f>'IN (mmol|L)'!P82</f>
        <v>41624</v>
      </c>
      <c r="AX21" s="205">
        <f>'IN (mmol|L)'!Q82</f>
        <v>41631</v>
      </c>
      <c r="AY21" s="206"/>
      <c r="AZ21" s="206"/>
      <c r="BA21" s="206"/>
      <c r="BB21" s="206"/>
      <c r="BC21" s="206"/>
      <c r="BD21" s="206"/>
      <c r="BE21" s="206"/>
      <c r="BF21" s="205">
        <f>'IN (mmol|L)'!E106</f>
        <v>41274</v>
      </c>
      <c r="BG21" s="205">
        <f>'IN (mmol|L)'!F106</f>
        <v>41277.5</v>
      </c>
      <c r="BH21" s="205">
        <f>'IN (mmol|L)'!G106</f>
        <v>41281</v>
      </c>
      <c r="BI21" s="205">
        <f>'IN (mmol|L)'!H106</f>
        <v>41284.5</v>
      </c>
      <c r="BJ21" s="205">
        <f>'IN (mmol|L)'!I106</f>
        <v>41288</v>
      </c>
      <c r="BK21" s="205">
        <f>'IN (mmol|L)'!J106</f>
        <v>41291.5</v>
      </c>
      <c r="BL21" s="205">
        <f>'IN (mmol|L)'!K106</f>
        <v>41295</v>
      </c>
      <c r="BM21" s="205">
        <f>'IN (mmol|L)'!L106</f>
        <v>41298.5</v>
      </c>
      <c r="BN21" s="205">
        <f>'IN (mmol|L)'!M106</f>
        <v>41302</v>
      </c>
      <c r="BO21" s="205">
        <f>'IN (mmol|L)'!N106</f>
        <v>41305.5</v>
      </c>
      <c r="BP21" s="205">
        <f>'IN (mmol|L)'!O106</f>
        <v>41312.5</v>
      </c>
      <c r="BQ21" s="205">
        <f>'IN (mmol|L)'!P106</f>
        <v>41319.5</v>
      </c>
      <c r="BR21" s="205">
        <f>'IN (mmol|L)'!Q106</f>
        <v>41326.5</v>
      </c>
    </row>
    <row r="22" spans="1:70">
      <c r="A22" s="129" t="s">
        <v>56</v>
      </c>
      <c r="B22" s="130">
        <f>IF(WEEKDAY(B21)+$I27=0,7,IF(WEEKDAY(B21)+$I27=8,1,WEEKDAY(B21)+$I27))</f>
        <v>1</v>
      </c>
      <c r="C22" s="130">
        <f t="shared" ref="C22:N22" si="23">IF(WEEKDAY(C21)+$I27=0,7,IF(WEEKDAY(C21)+$I27=8,1,WEEKDAY(C21)+$I27))</f>
        <v>1</v>
      </c>
      <c r="D22" s="130">
        <f t="shared" si="23"/>
        <v>1</v>
      </c>
      <c r="E22" s="130">
        <f t="shared" si="23"/>
        <v>1</v>
      </c>
      <c r="F22" s="130">
        <f t="shared" si="23"/>
        <v>1</v>
      </c>
      <c r="G22" s="130">
        <f t="shared" si="23"/>
        <v>1</v>
      </c>
      <c r="H22" s="130">
        <f t="shared" si="23"/>
        <v>1</v>
      </c>
      <c r="I22" s="130">
        <f t="shared" si="23"/>
        <v>1</v>
      </c>
      <c r="J22" s="130">
        <f>IF(WEEKDAY(J21)+$I27=0,7,IF(WEEKDAY(J21)+$I27=8,1,WEEKDAY(J21)+$I27))</f>
        <v>1</v>
      </c>
      <c r="K22" s="245">
        <f>IF(WEEKDAY(K21)+$I27=0,7,IF(WEEKDAY(K21)+$I27=8,1,WEEKDAY(K21)+$I27))</f>
        <v>1</v>
      </c>
      <c r="L22" s="245">
        <f>IF(WEEKDAY(L21)+$I27=0,7,IF(WEEKDAY(L21)+$I27=8,1,WEEKDAY(L21)+$I27))</f>
        <v>1</v>
      </c>
      <c r="M22" s="245">
        <f>IF(WEEKDAY(M21)+$I27=0,7,IF(WEEKDAY(M21)+$I27=8,1,WEEKDAY(M21)+$I27))</f>
        <v>1</v>
      </c>
      <c r="N22" s="245">
        <f t="shared" si="23"/>
        <v>1</v>
      </c>
      <c r="O22" s="247">
        <f>IF(WEEKDAY(O21)+$I27=0,7,IF(WEEKDAY(O21)+$I27=8,1,WEEKDAY(O21)+$I27))</f>
        <v>1</v>
      </c>
      <c r="P22" s="130">
        <f t="shared" ref="P22:AX22" si="24">IF(WEEKDAY(P21)+$I27=0,7,IF(WEEKDAY(P21)+$I27=8,1,WEEKDAY(P21)+$I27))</f>
        <v>1</v>
      </c>
      <c r="Q22" s="130">
        <f t="shared" si="24"/>
        <v>1</v>
      </c>
      <c r="R22" s="130">
        <f t="shared" si="24"/>
        <v>1</v>
      </c>
      <c r="S22" s="130">
        <f t="shared" si="24"/>
        <v>1</v>
      </c>
      <c r="T22" s="130">
        <f t="shared" si="24"/>
        <v>1</v>
      </c>
      <c r="U22" s="130">
        <f t="shared" si="24"/>
        <v>1</v>
      </c>
      <c r="V22" s="130">
        <f t="shared" si="24"/>
        <v>1</v>
      </c>
      <c r="W22" s="130">
        <f t="shared" si="24"/>
        <v>1</v>
      </c>
      <c r="X22" s="130">
        <f>IF(WEEKDAY(X21)+$I27=0,7,IF(WEEKDAY(X21)+$I27=8,1,WEEKDAY(X21)+$I27))</f>
        <v>1</v>
      </c>
      <c r="Y22" s="130">
        <f>IF(WEEKDAY(Y21)+$I27=0,7,IF(WEEKDAY(Y21)+$I27=8,1,WEEKDAY(Y21)+$I27))</f>
        <v>1</v>
      </c>
      <c r="Z22" s="130">
        <f>IF(WEEKDAY(Z21)+$I27=0,7,IF(WEEKDAY(Z21)+$I27=8,1,WEEKDAY(Z21)+$I27))</f>
        <v>1</v>
      </c>
      <c r="AA22" s="130">
        <f>IF(WEEKDAY(AA21)+$I27=0,7,IF(WEEKDAY(AA21)+$I27=8,1,WEEKDAY(AA21)+$I27))</f>
        <v>1</v>
      </c>
      <c r="AB22" s="247">
        <f t="shared" si="24"/>
        <v>1</v>
      </c>
      <c r="AC22" s="130">
        <f t="shared" si="24"/>
        <v>1</v>
      </c>
      <c r="AD22" s="130">
        <f t="shared" si="24"/>
        <v>1</v>
      </c>
      <c r="AE22" s="130">
        <f t="shared" si="24"/>
        <v>1</v>
      </c>
      <c r="AF22" s="130">
        <f t="shared" si="24"/>
        <v>1</v>
      </c>
      <c r="AG22" s="130">
        <f t="shared" si="24"/>
        <v>1</v>
      </c>
      <c r="AH22" s="130">
        <f t="shared" si="24"/>
        <v>1</v>
      </c>
      <c r="AI22" s="130">
        <f t="shared" ref="AI22:AN22" si="25">IF(WEEKDAY(AI21)+$I27=0,7,IF(WEEKDAY(AI21)+$I27=8,1,WEEKDAY(AI21)+$I27))</f>
        <v>1</v>
      </c>
      <c r="AJ22" s="130">
        <f t="shared" si="25"/>
        <v>1</v>
      </c>
      <c r="AK22" s="130">
        <f t="shared" si="25"/>
        <v>1</v>
      </c>
      <c r="AL22" s="130">
        <f t="shared" si="25"/>
        <v>1</v>
      </c>
      <c r="AM22" s="130">
        <f t="shared" si="25"/>
        <v>1</v>
      </c>
      <c r="AN22" s="130">
        <f t="shared" si="25"/>
        <v>1</v>
      </c>
      <c r="AO22" s="247">
        <f t="shared" si="24"/>
        <v>1</v>
      </c>
      <c r="AP22" s="130">
        <f t="shared" si="24"/>
        <v>1</v>
      </c>
      <c r="AQ22" s="130">
        <f t="shared" si="24"/>
        <v>1</v>
      </c>
      <c r="AR22" s="130">
        <f t="shared" si="24"/>
        <v>1</v>
      </c>
      <c r="AS22" s="130">
        <f t="shared" si="24"/>
        <v>1</v>
      </c>
      <c r="AT22" s="130">
        <f t="shared" si="24"/>
        <v>1</v>
      </c>
      <c r="AU22" s="130">
        <f t="shared" si="24"/>
        <v>1</v>
      </c>
      <c r="AV22" s="130">
        <f t="shared" si="24"/>
        <v>1</v>
      </c>
      <c r="AW22" s="130">
        <f t="shared" si="24"/>
        <v>1</v>
      </c>
      <c r="AX22" s="130">
        <f t="shared" si="24"/>
        <v>1</v>
      </c>
      <c r="AY22" s="130"/>
      <c r="AZ22" s="130"/>
      <c r="BA22" s="130"/>
      <c r="BB22" s="130"/>
      <c r="BC22" s="130"/>
      <c r="BD22" s="130"/>
      <c r="BE22" s="130"/>
      <c r="BF22" s="130">
        <f t="shared" ref="BF22:BR22" si="26">IF(WEEKDAY(BF21)+$I27=0,7,IF(WEEKDAY(BF21)+$I27=8,1,WEEKDAY(BF21)+$I27))</f>
        <v>1</v>
      </c>
      <c r="BG22" s="130">
        <f t="shared" si="26"/>
        <v>4</v>
      </c>
      <c r="BH22" s="130">
        <f t="shared" si="26"/>
        <v>1</v>
      </c>
      <c r="BI22" s="130">
        <f t="shared" si="26"/>
        <v>4</v>
      </c>
      <c r="BJ22" s="130">
        <f t="shared" si="26"/>
        <v>1</v>
      </c>
      <c r="BK22" s="130">
        <f t="shared" si="26"/>
        <v>4</v>
      </c>
      <c r="BL22" s="130">
        <f t="shared" si="26"/>
        <v>1</v>
      </c>
      <c r="BM22" s="130">
        <f t="shared" si="26"/>
        <v>4</v>
      </c>
      <c r="BN22" s="130">
        <f>IF(WEEKDAY(BN21)+$I27=0,7,IF(WEEKDAY(BN21)+$I27=8,1,WEEKDAY(BN21)+$I27))</f>
        <v>1</v>
      </c>
      <c r="BO22" s="130">
        <f>IF(WEEKDAY(BO21)+$I27=0,7,IF(WEEKDAY(BO21)+$I27=8,1,WEEKDAY(BO21)+$I27))</f>
        <v>4</v>
      </c>
      <c r="BP22" s="130">
        <f t="shared" si="26"/>
        <v>4</v>
      </c>
      <c r="BQ22" s="130">
        <f t="shared" si="26"/>
        <v>4</v>
      </c>
      <c r="BR22" s="130">
        <f t="shared" si="26"/>
        <v>4</v>
      </c>
    </row>
    <row r="23" spans="1:70" ht="14" thickBot="1">
      <c r="B23" s="14"/>
      <c r="C23" s="15" t="str">
        <f>CONCATENATE("+",'IN (mmol|L)'!V3,"σ")</f>
        <v>+1,645σ</v>
      </c>
      <c r="D23" s="15" t="str">
        <f>CONCATENATE("- ",'IN (mmol|L)'!V3,"σ")</f>
        <v>- 1,645σ</v>
      </c>
      <c r="E23" s="15" t="s">
        <v>51</v>
      </c>
      <c r="F23" s="15" t="s">
        <v>34</v>
      </c>
      <c r="G23" s="15" t="s">
        <v>138</v>
      </c>
      <c r="H23" s="1"/>
      <c r="I23" s="1"/>
      <c r="J23" s="1"/>
      <c r="L23" s="242"/>
      <c r="M23" s="243"/>
      <c r="N23" s="243"/>
      <c r="O23" s="20"/>
      <c r="P23" s="21" t="str">
        <f>CONCATENATE("+",'IN (mmol|L)'!V26,"σ")</f>
        <v>+1,645σ</v>
      </c>
      <c r="Q23" s="21" t="str">
        <f>CONCATENATE("- ",'IN (mmol|L)'!V26,"σ")</f>
        <v>- 1,645σ</v>
      </c>
      <c r="R23" s="21" t="s">
        <v>51</v>
      </c>
      <c r="S23" s="21" t="s">
        <v>34</v>
      </c>
      <c r="T23" s="1"/>
      <c r="U23" s="1"/>
      <c r="V23" s="1"/>
      <c r="W23" s="1"/>
      <c r="Y23" s="1"/>
      <c r="Z23" s="1"/>
      <c r="AB23" s="17"/>
      <c r="AC23" s="18" t="str">
        <f>CONCATENATE("+",'IN (mmol|L)'!V49,"σ")</f>
        <v>+1σ</v>
      </c>
      <c r="AD23" s="18" t="str">
        <f>CONCATENATE("- ",'IN (mmol|L)'!V49,"σ")</f>
        <v>- 1σ</v>
      </c>
      <c r="AE23" s="18" t="s">
        <v>51</v>
      </c>
      <c r="AF23" s="18" t="s">
        <v>34</v>
      </c>
      <c r="AG23" s="1"/>
      <c r="AH23" s="1"/>
      <c r="AI23" s="1"/>
      <c r="AJ23" s="1"/>
      <c r="AK23" s="1"/>
      <c r="AL23" s="1"/>
      <c r="AM23" s="1"/>
      <c r="AN23" s="1"/>
      <c r="AO23" s="11"/>
      <c r="AP23" s="12" t="str">
        <f>CONCATENATE("+",'IN (mmol|L)'!V72,"σ")</f>
        <v>+1σ</v>
      </c>
      <c r="AQ23" s="12" t="str">
        <f>CONCATENATE("- ",'IN (mmol|L)'!V72,"σ")</f>
        <v>- 1σ</v>
      </c>
      <c r="AR23" s="12" t="s">
        <v>51</v>
      </c>
      <c r="AS23" s="12" t="s">
        <v>34</v>
      </c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02"/>
      <c r="BG23" s="1041" t="str">
        <f>CONCATENATE("+",'IN (mmol|L)'!V96,"σ")</f>
        <v>+0,674σ</v>
      </c>
      <c r="BH23" s="1041" t="str">
        <f>CONCATENATE("- ",'IN (mmol|L)'!V96,"σ")</f>
        <v>- 0,674σ</v>
      </c>
      <c r="BI23" s="103" t="s">
        <v>51</v>
      </c>
      <c r="BJ23" s="103" t="s">
        <v>34</v>
      </c>
    </row>
    <row r="24" spans="1:70">
      <c r="B24" s="14">
        <f>'IN (mmol|L)'!D4</f>
        <v>0.29166666666666669</v>
      </c>
      <c r="C24" s="16">
        <f>E24+'IN (mmol|L)'!$V$3*F24</f>
        <v>6.2978141617976009</v>
      </c>
      <c r="D24" s="16">
        <f>E24-'IN (mmol|L)'!$V$3*F24</f>
        <v>5.9637242997408615</v>
      </c>
      <c r="E24" s="16">
        <f t="shared" ref="E24:E32" si="27">AVERAGE(B4:N4)</f>
        <v>6.1307692307692312</v>
      </c>
      <c r="F24" s="16">
        <f t="shared" ref="F24:F32" si="28">STDEV(B4:N4)</f>
        <v>0.10154707053396356</v>
      </c>
      <c r="G24" s="16">
        <f t="shared" ref="G24:G32" si="29">AVERAGE(B4:J4)</f>
        <v>6.1444444444444448</v>
      </c>
      <c r="H24" s="123"/>
      <c r="I24" s="124"/>
      <c r="J24" s="125"/>
      <c r="L24" s="242"/>
      <c r="M24" s="244"/>
      <c r="N24" s="244"/>
      <c r="O24" s="20">
        <f>$A4</f>
        <v>0.29166666666666669</v>
      </c>
      <c r="P24" s="22">
        <f>R24+'IN (mmol|L)'!$V$26*S24</f>
        <v>6.1584889875528468</v>
      </c>
      <c r="Q24" s="22">
        <f>R24-'IN (mmol|L)'!$V$26*S24</f>
        <v>5.949206186077399</v>
      </c>
      <c r="R24" s="22">
        <f t="shared" ref="R24:R32" si="30">AVERAGE(O4:AA4)</f>
        <v>6.0538475868151229</v>
      </c>
      <c r="S24" s="22">
        <f t="shared" ref="S24:S32" si="31">STDEV(O4:AA4)</f>
        <v>6.3611793761534474E-2</v>
      </c>
      <c r="T24" s="5"/>
      <c r="U24" s="5"/>
      <c r="V24" s="5"/>
      <c r="W24" s="5"/>
      <c r="Y24" s="5"/>
      <c r="Z24" s="5"/>
      <c r="AB24" s="17">
        <f>$A4</f>
        <v>0.29166666666666669</v>
      </c>
      <c r="AC24" s="19">
        <f>AE24+'IN (mmol|L)'!$V$49*AF24</f>
        <v>6.0500444753314682</v>
      </c>
      <c r="AD24" s="19">
        <f>AE24-'IN (mmol|L)'!$V$49*AF24</f>
        <v>6.049952659065033</v>
      </c>
      <c r="AE24" s="19">
        <f t="shared" ref="AE24:AE32" si="32">AVERAGE(AB4:AN4)</f>
        <v>6.0499985671982506</v>
      </c>
      <c r="AF24" s="19">
        <f t="shared" ref="AF24:AF32" si="33">STDEV(AB4:AN4)</f>
        <v>4.590813321719309E-5</v>
      </c>
      <c r="AG24" s="5"/>
      <c r="AH24" s="5"/>
      <c r="AI24" s="5"/>
      <c r="AJ24" s="5"/>
      <c r="AK24" s="5"/>
      <c r="AL24" s="5"/>
      <c r="AM24" s="5"/>
      <c r="AN24" s="5"/>
      <c r="AO24" s="11">
        <f t="shared" ref="AO24:AO32" si="34">$A4</f>
        <v>0.29166666666666669</v>
      </c>
      <c r="AP24" s="13">
        <f>AR24+'IN (mmol|L)'!$V$72*AS24</f>
        <v>6.0500000326541539</v>
      </c>
      <c r="AQ24" s="13">
        <f>AR24-'IN (mmol|L)'!$V$72*AS24</f>
        <v>6.0499999670090965</v>
      </c>
      <c r="AR24" s="13">
        <f t="shared" ref="AR24:AR32" si="35">AVERAGE(AO4:BA4)</f>
        <v>6.0499999998316252</v>
      </c>
      <c r="AS24" s="13">
        <f t="shared" ref="AS24:AS32" si="36">STDEV(AO4:BA4)</f>
        <v>3.2822528632335378E-8</v>
      </c>
      <c r="AT24" s="5"/>
      <c r="AU24" s="5"/>
      <c r="AV24" s="5"/>
      <c r="AW24" s="5"/>
      <c r="AX24" s="5"/>
      <c r="AY24" s="5"/>
      <c r="AZ24" s="5"/>
      <c r="BA24" s="1"/>
      <c r="BB24" s="1"/>
      <c r="BC24" s="5"/>
      <c r="BD24" s="1"/>
      <c r="BE24" s="1"/>
      <c r="BF24" s="102">
        <f t="shared" ref="BF24:BF32" si="37">$A4</f>
        <v>0.29166666666666669</v>
      </c>
      <c r="BG24" s="104">
        <f>BI24+'IN (mmol|L)'!$V$96*BJ24</f>
        <v>6.1782980040482647</v>
      </c>
      <c r="BH24" s="104">
        <f>BI24-'IN (mmol|L)'!$V$96*BJ24</f>
        <v>5.9944109032060959</v>
      </c>
      <c r="BI24" s="104">
        <f t="shared" ref="BI24:BI32" si="38">TRIMMEAN(BF4:BR4,0.2)</f>
        <v>6.0863544536271803</v>
      </c>
      <c r="BJ24" s="104">
        <f t="shared" ref="BJ24:BJ32" si="39">STDEV(BF4:BR4)</f>
        <v>0.13641476323603044</v>
      </c>
    </row>
    <row r="25" spans="1:70">
      <c r="B25" s="14">
        <f>'IN (mmol|L)'!D5</f>
        <v>0.39583333333333331</v>
      </c>
      <c r="C25" s="16">
        <f>E25+'IN (mmol|L)'!$V$3*F25</f>
        <v>11.568473469259178</v>
      </c>
      <c r="D25" s="16">
        <f>E25-'IN (mmol|L)'!$V$3*F25</f>
        <v>8.0189909182052084</v>
      </c>
      <c r="E25" s="16">
        <f t="shared" si="27"/>
        <v>9.7937321937321933</v>
      </c>
      <c r="F25" s="16">
        <f t="shared" si="28"/>
        <v>1.0788700763081971</v>
      </c>
      <c r="G25" s="16">
        <f t="shared" si="29"/>
        <v>9.7617283950617288</v>
      </c>
      <c r="H25" s="207"/>
      <c r="I25" s="208" t="s">
        <v>54</v>
      </c>
      <c r="J25" s="209"/>
      <c r="L25" s="242"/>
      <c r="M25" s="244"/>
      <c r="N25" s="244"/>
      <c r="O25" s="20">
        <f t="shared" ref="O25:O30" si="40">$A5</f>
        <v>0.39583333333333331</v>
      </c>
      <c r="P25" s="22">
        <f>R25+'IN (mmol|L)'!$V$26*S25</f>
        <v>9.95208873308321</v>
      </c>
      <c r="Q25" s="22">
        <f>R25-'IN (mmol|L)'!$V$26*S25</f>
        <v>9.4405277712743878</v>
      </c>
      <c r="R25" s="22">
        <f t="shared" si="30"/>
        <v>9.6963082521787989</v>
      </c>
      <c r="S25" s="22">
        <f t="shared" si="31"/>
        <v>0.15548965404523485</v>
      </c>
      <c r="T25" s="5"/>
      <c r="U25" s="5"/>
      <c r="V25" s="5"/>
      <c r="W25" s="5"/>
      <c r="Y25" s="5"/>
      <c r="Z25" s="5"/>
      <c r="AB25" s="17">
        <f t="shared" ref="AB25:AB32" si="41">$A5</f>
        <v>0.39583333333333331</v>
      </c>
      <c r="AC25" s="19">
        <f>AE25+'IN (mmol|L)'!$V$49*AF25</f>
        <v>9.6778830981091541</v>
      </c>
      <c r="AD25" s="19">
        <f>AE25-'IN (mmol|L)'!$V$49*AF25</f>
        <v>9.6776485314467902</v>
      </c>
      <c r="AE25" s="19">
        <f t="shared" si="32"/>
        <v>9.6777658147779722</v>
      </c>
      <c r="AF25" s="19">
        <f t="shared" si="33"/>
        <v>1.1728333118225707E-4</v>
      </c>
      <c r="AG25" s="5"/>
      <c r="AH25" s="5"/>
      <c r="AI25" s="5"/>
      <c r="AJ25" s="5"/>
      <c r="AK25" s="5"/>
      <c r="AL25" s="5"/>
      <c r="AM25" s="5"/>
      <c r="AN25" s="5"/>
      <c r="AO25" s="11">
        <f t="shared" si="34"/>
        <v>0.39583333333333331</v>
      </c>
      <c r="AP25" s="13">
        <f>AR25+'IN (mmol|L)'!$V$72*AS25</f>
        <v>9.6777778719407319</v>
      </c>
      <c r="AQ25" s="13">
        <f>AR25-'IN (mmol|L)'!$V$72*AS25</f>
        <v>9.6777776978567314</v>
      </c>
      <c r="AR25" s="13">
        <f t="shared" si="35"/>
        <v>9.6777777848987316</v>
      </c>
      <c r="AS25" s="13">
        <f t="shared" si="36"/>
        <v>8.7041999481035532E-8</v>
      </c>
      <c r="AT25" s="5"/>
      <c r="AU25" s="5"/>
      <c r="AV25" s="5"/>
      <c r="AW25" s="5"/>
      <c r="AX25" s="5"/>
      <c r="AY25" s="5"/>
      <c r="AZ25" s="5"/>
      <c r="BA25" s="1"/>
      <c r="BB25" s="1"/>
      <c r="BC25" s="5"/>
      <c r="BD25" s="1"/>
      <c r="BE25" s="1"/>
      <c r="BF25" s="102">
        <f t="shared" si="37"/>
        <v>0.39583333333333331</v>
      </c>
      <c r="BG25" s="104">
        <f>BI25+'IN (mmol|L)'!$V$96*BJ25</f>
        <v>10.222720872083464</v>
      </c>
      <c r="BH25" s="104">
        <f>BI25-'IN (mmol|L)'!$V$96*BJ25</f>
        <v>8.9078576403132281</v>
      </c>
      <c r="BI25" s="104">
        <f t="shared" si="38"/>
        <v>9.565289256198346</v>
      </c>
      <c r="BJ25" s="104">
        <f t="shared" si="39"/>
        <v>0.97541782772272612</v>
      </c>
    </row>
    <row r="26" spans="1:70" ht="14" thickBot="1">
      <c r="B26" s="14">
        <f>'IN (mmol|L)'!D6</f>
        <v>0.5</v>
      </c>
      <c r="C26" s="16">
        <f>E26+'IN (mmol|L)'!$V$3*F26</f>
        <v>10.025345901641259</v>
      </c>
      <c r="D26" s="16">
        <f>E26-'IN (mmol|L)'!$V$3*F26</f>
        <v>4.6618335855382291</v>
      </c>
      <c r="E26" s="16">
        <f t="shared" si="27"/>
        <v>7.3435897435897441</v>
      </c>
      <c r="F26" s="16">
        <f t="shared" si="28"/>
        <v>1.630246904590587</v>
      </c>
      <c r="G26" s="16">
        <f t="shared" si="29"/>
        <v>6.9185185185185176</v>
      </c>
      <c r="H26" s="207"/>
      <c r="I26" s="208" t="s">
        <v>55</v>
      </c>
      <c r="J26" s="209"/>
      <c r="L26" s="242"/>
      <c r="M26" s="244"/>
      <c r="N26" s="244"/>
      <c r="O26" s="20">
        <f t="shared" si="40"/>
        <v>0.5</v>
      </c>
      <c r="P26" s="22">
        <f>R26+'IN (mmol|L)'!$V$26*S26</f>
        <v>7.5033901188176362</v>
      </c>
      <c r="Q26" s="22">
        <f>R26-'IN (mmol|L)'!$V$26*S26</f>
        <v>7.0473761360079603</v>
      </c>
      <c r="R26" s="22">
        <f t="shared" si="30"/>
        <v>7.2753831274127982</v>
      </c>
      <c r="S26" s="22">
        <f t="shared" si="31"/>
        <v>0.13860607380233284</v>
      </c>
      <c r="T26" s="5"/>
      <c r="U26" s="5"/>
      <c r="V26" s="5"/>
      <c r="W26" s="5"/>
      <c r="Y26" s="5"/>
      <c r="Z26" s="5"/>
      <c r="AB26" s="17">
        <f t="shared" si="41"/>
        <v>0.5</v>
      </c>
      <c r="AC26" s="19">
        <f>AE26+'IN (mmol|L)'!$V$49*AF26</f>
        <v>7.2445391813897864</v>
      </c>
      <c r="AD26" s="19">
        <f>AE26-'IN (mmol|L)'!$V$49*AF26</f>
        <v>7.2442956575488022</v>
      </c>
      <c r="AE26" s="19">
        <f t="shared" si="32"/>
        <v>7.2444174194692943</v>
      </c>
      <c r="AF26" s="19">
        <f t="shared" si="33"/>
        <v>1.2176192049219737E-4</v>
      </c>
      <c r="AG26" s="5"/>
      <c r="AH26" s="5"/>
      <c r="AI26" s="5"/>
      <c r="AJ26" s="5"/>
      <c r="AK26" s="5"/>
      <c r="AL26" s="5"/>
      <c r="AM26" s="5"/>
      <c r="AN26" s="5"/>
      <c r="AO26" s="11">
        <f t="shared" si="34"/>
        <v>0.5</v>
      </c>
      <c r="AP26" s="13">
        <f>AR26+'IN (mmol|L)'!$V$72*AS26</f>
        <v>7.2444445737143504</v>
      </c>
      <c r="AQ26" s="13">
        <f>AR26-'IN (mmol|L)'!$V$72*AS26</f>
        <v>7.2444443610494389</v>
      </c>
      <c r="AR26" s="13">
        <f t="shared" si="35"/>
        <v>7.2444444673818946</v>
      </c>
      <c r="AS26" s="13">
        <f t="shared" si="36"/>
        <v>1.0633245573043506E-7</v>
      </c>
      <c r="AT26" s="5"/>
      <c r="AU26" s="5"/>
      <c r="AV26" s="5"/>
      <c r="AW26" s="5"/>
      <c r="AX26" s="5"/>
      <c r="AY26" s="5"/>
      <c r="AZ26" s="5"/>
      <c r="BA26" s="1"/>
      <c r="BB26" s="1"/>
      <c r="BC26" s="5"/>
      <c r="BD26" s="1"/>
      <c r="BE26" s="1"/>
      <c r="BF26" s="102">
        <f t="shared" si="37"/>
        <v>0.5</v>
      </c>
      <c r="BG26" s="104">
        <f>BI26+'IN (mmol|L)'!$V$96*BJ26</f>
        <v>8.4180313420721156</v>
      </c>
      <c r="BH26" s="104">
        <f>BI26-'IN (mmol|L)'!$V$96*BJ26</f>
        <v>6.6345490068718753</v>
      </c>
      <c r="BI26" s="104">
        <f t="shared" si="38"/>
        <v>7.5262901744719954</v>
      </c>
      <c r="BJ26" s="104">
        <f t="shared" si="39"/>
        <v>1.3230581121663505</v>
      </c>
    </row>
    <row r="27" spans="1:70">
      <c r="B27" s="14">
        <f>'IN (mmol|L)'!D7</f>
        <v>0.60416666666666663</v>
      </c>
      <c r="C27" s="16">
        <f>E27+'IN (mmol|L)'!$V$3*F27</f>
        <v>10.064356280516664</v>
      </c>
      <c r="D27" s="16">
        <f>E27-'IN (mmol|L)'!$V$3*F27</f>
        <v>3.7852163690559877</v>
      </c>
      <c r="E27" s="16">
        <f t="shared" si="27"/>
        <v>6.9247863247863259</v>
      </c>
      <c r="F27" s="16">
        <f t="shared" si="28"/>
        <v>1.9085531645777132</v>
      </c>
      <c r="G27" s="16">
        <f t="shared" si="29"/>
        <v>7.465432098765433</v>
      </c>
      <c r="H27" s="126">
        <v>36749</v>
      </c>
      <c r="I27" s="1507">
        <f>5-H28</f>
        <v>0</v>
      </c>
      <c r="J27" s="127"/>
      <c r="L27" s="242"/>
      <c r="M27" s="244"/>
      <c r="N27" s="244"/>
      <c r="O27" s="20">
        <f t="shared" si="40"/>
        <v>0.60416666666666663</v>
      </c>
      <c r="P27" s="22">
        <f>R27+'IN (mmol|L)'!$V$26*S27</f>
        <v>5.8085680272593496</v>
      </c>
      <c r="Q27" s="22">
        <f>R27-'IN (mmol|L)'!$V$26*S27</f>
        <v>5.2664762198792605</v>
      </c>
      <c r="R27" s="22">
        <f t="shared" si="30"/>
        <v>5.5375221235693051</v>
      </c>
      <c r="S27" s="22">
        <f t="shared" si="31"/>
        <v>0.16476954631613677</v>
      </c>
      <c r="T27" s="5"/>
      <c r="U27" s="5"/>
      <c r="V27" s="5"/>
      <c r="W27" s="5"/>
      <c r="Y27" s="5"/>
      <c r="Z27" s="5"/>
      <c r="AB27" s="17">
        <f t="shared" si="41"/>
        <v>0.60416666666666663</v>
      </c>
      <c r="AC27" s="19">
        <f>AE27+'IN (mmol|L)'!$V$49*AF27</f>
        <v>5.531590441489751</v>
      </c>
      <c r="AD27" s="19">
        <f>AE27-'IN (mmol|L)'!$V$49*AF27</f>
        <v>5.5313519914617117</v>
      </c>
      <c r="AE27" s="19">
        <f t="shared" si="32"/>
        <v>5.5314712164757314</v>
      </c>
      <c r="AF27" s="19">
        <f t="shared" si="33"/>
        <v>1.1922501401968413E-4</v>
      </c>
      <c r="AG27" s="5"/>
      <c r="AH27" s="5"/>
      <c r="AI27" s="5"/>
      <c r="AJ27" s="5"/>
      <c r="AK27" s="5"/>
      <c r="AL27" s="5"/>
      <c r="AM27" s="5"/>
      <c r="AN27" s="5"/>
      <c r="AO27" s="11">
        <f t="shared" si="34"/>
        <v>0.60416666666666663</v>
      </c>
      <c r="AP27" s="13">
        <f>AR27+'IN (mmol|L)'!$V$72*AS27</f>
        <v>5.5314815831443784</v>
      </c>
      <c r="AQ27" s="13">
        <f>AR27-'IN (mmol|L)'!$V$72*AS27</f>
        <v>5.5314814044075042</v>
      </c>
      <c r="AR27" s="13">
        <f t="shared" si="35"/>
        <v>5.5314814937759413</v>
      </c>
      <c r="AS27" s="13">
        <f t="shared" si="36"/>
        <v>8.9368437092953667E-8</v>
      </c>
      <c r="AT27" s="5"/>
      <c r="AU27" s="5"/>
      <c r="AV27" s="5"/>
      <c r="AW27" s="5"/>
      <c r="AX27" s="5"/>
      <c r="AY27" s="5"/>
      <c r="AZ27" s="5"/>
      <c r="BA27" s="1"/>
      <c r="BB27" s="1"/>
      <c r="BC27" s="5"/>
      <c r="BD27" s="1"/>
      <c r="BE27" s="1"/>
      <c r="BF27" s="102">
        <f t="shared" si="37"/>
        <v>0.60416666666666663</v>
      </c>
      <c r="BG27" s="104">
        <f>BI27+'IN (mmol|L)'!$V$96*BJ27</f>
        <v>7.2325316807600473</v>
      </c>
      <c r="BH27" s="104">
        <f>BI27-'IN (mmol|L)'!$V$96*BJ27</f>
        <v>4.3028585855393047</v>
      </c>
      <c r="BI27" s="104">
        <f t="shared" si="38"/>
        <v>5.767695133149676</v>
      </c>
      <c r="BJ27" s="104">
        <f t="shared" si="39"/>
        <v>2.173347993487198</v>
      </c>
    </row>
    <row r="28" spans="1:70">
      <c r="B28" s="14">
        <f>'IN (mmol|L)'!D8</f>
        <v>0.72916666666666663</v>
      </c>
      <c r="C28" s="16">
        <f>E28+'IN (mmol|L)'!$V$3*F28</f>
        <v>9.7360614175082976</v>
      </c>
      <c r="D28" s="16">
        <f>E28-'IN (mmol|L)'!$V$3*F28</f>
        <v>4.4502633688164899</v>
      </c>
      <c r="E28" s="16">
        <f t="shared" si="27"/>
        <v>7.0931623931623937</v>
      </c>
      <c r="F28" s="16">
        <f t="shared" si="28"/>
        <v>1.6066255467148352</v>
      </c>
      <c r="G28" s="16">
        <f t="shared" si="29"/>
        <v>7.4123456790123452</v>
      </c>
      <c r="H28" s="126">
        <f>WEEKDAY(H27)</f>
        <v>5</v>
      </c>
      <c r="I28" s="1508"/>
      <c r="J28" s="127"/>
      <c r="L28" s="242"/>
      <c r="M28" s="244"/>
      <c r="N28" s="244"/>
      <c r="O28" s="20">
        <f t="shared" si="40"/>
        <v>0.72916666666666663</v>
      </c>
      <c r="P28" s="22">
        <f>R28+'IN (mmol|L)'!$V$26*S28</f>
        <v>7.7841617929248414</v>
      </c>
      <c r="Q28" s="22">
        <f>R28-'IN (mmol|L)'!$V$26*S28</f>
        <v>6.6116115565445934</v>
      </c>
      <c r="R28" s="22">
        <f t="shared" si="30"/>
        <v>7.1978866747347174</v>
      </c>
      <c r="S28" s="22">
        <f t="shared" si="31"/>
        <v>0.35639824813989296</v>
      </c>
      <c r="T28" s="5"/>
      <c r="U28" s="5"/>
      <c r="V28" s="5"/>
      <c r="W28" s="5"/>
      <c r="Y28" s="5"/>
      <c r="Z28" s="5"/>
      <c r="AB28" s="17">
        <f t="shared" si="41"/>
        <v>0.72916666666666663</v>
      </c>
      <c r="AC28" s="19">
        <f>AE28+'IN (mmol|L)'!$V$49*AF28</f>
        <v>7.1835683302381312</v>
      </c>
      <c r="AD28" s="19">
        <f>AE28-'IN (mmol|L)'!$V$49*AF28</f>
        <v>7.1830514275017929</v>
      </c>
      <c r="AE28" s="19">
        <f t="shared" si="32"/>
        <v>7.1833098788699621</v>
      </c>
      <c r="AF28" s="19">
        <f t="shared" si="33"/>
        <v>2.5845136816924469E-4</v>
      </c>
      <c r="AG28" s="5"/>
      <c r="AH28" s="5"/>
      <c r="AI28" s="5"/>
      <c r="AJ28" s="5"/>
      <c r="AK28" s="5"/>
      <c r="AL28" s="5"/>
      <c r="AM28" s="5"/>
      <c r="AN28" s="5"/>
      <c r="AO28" s="11">
        <f t="shared" si="34"/>
        <v>0.72916666666666663</v>
      </c>
      <c r="AP28" s="13">
        <f>AR28+'IN (mmol|L)'!$V$72*AS28</f>
        <v>7.1833335555119504</v>
      </c>
      <c r="AQ28" s="13">
        <f>AR28-'IN (mmol|L)'!$V$72*AS28</f>
        <v>7.1833331663956042</v>
      </c>
      <c r="AR28" s="13">
        <f t="shared" si="35"/>
        <v>7.1833333609537773</v>
      </c>
      <c r="AS28" s="13">
        <f t="shared" si="36"/>
        <v>1.9455817327026839E-7</v>
      </c>
      <c r="AT28" s="5"/>
      <c r="AU28" s="5"/>
      <c r="AV28" s="5"/>
      <c r="AW28" s="5"/>
      <c r="AX28" s="5"/>
      <c r="AY28" s="5"/>
      <c r="AZ28" s="5"/>
      <c r="BA28" s="1"/>
      <c r="BB28" s="1"/>
      <c r="BC28" s="5"/>
      <c r="BD28" s="1"/>
      <c r="BE28" s="1"/>
      <c r="BF28" s="102">
        <f t="shared" si="37"/>
        <v>0.72916666666666663</v>
      </c>
      <c r="BG28" s="104">
        <f>BI28+'IN (mmol|L)'!$V$96*BJ28</f>
        <v>7.9286947159258201</v>
      </c>
      <c r="BH28" s="104">
        <f>BI28-'IN (mmol|L)'!$V$96*BJ28</f>
        <v>6.0891565237435898</v>
      </c>
      <c r="BI28" s="104">
        <f t="shared" si="38"/>
        <v>7.008925619834705</v>
      </c>
      <c r="BJ28" s="104">
        <f t="shared" si="39"/>
        <v>1.364642575802842</v>
      </c>
    </row>
    <row r="29" spans="1:70" ht="14" thickBot="1">
      <c r="B29" s="14">
        <f>'IN (mmol|L)'!D9</f>
        <v>0.83333333333333337</v>
      </c>
      <c r="C29" s="16">
        <f>E29+'IN (mmol|L)'!$V$3*F29</f>
        <v>12.996491946270973</v>
      </c>
      <c r="D29" s="16">
        <f>E29-'IN (mmol|L)'!$V$3*F29</f>
        <v>5.502653352874324</v>
      </c>
      <c r="E29" s="16">
        <f t="shared" si="27"/>
        <v>9.2495726495726487</v>
      </c>
      <c r="F29" s="16">
        <f t="shared" si="28"/>
        <v>2.2777624903941187</v>
      </c>
      <c r="G29" s="16">
        <f t="shared" si="29"/>
        <v>9.4827160493827147</v>
      </c>
      <c r="H29" s="126"/>
      <c r="I29" s="1509"/>
      <c r="J29" s="127"/>
      <c r="L29" s="242"/>
      <c r="M29" s="244"/>
      <c r="N29" s="244"/>
      <c r="O29" s="20">
        <f t="shared" si="40"/>
        <v>0.83333333333333337</v>
      </c>
      <c r="P29" s="22">
        <f>R29+'IN (mmol|L)'!$V$26*S29</f>
        <v>8.125927829096991</v>
      </c>
      <c r="Q29" s="22">
        <f>R29-'IN (mmol|L)'!$V$26*S29</f>
        <v>5.6842951452168275</v>
      </c>
      <c r="R29" s="22">
        <f t="shared" si="30"/>
        <v>6.9051114871569093</v>
      </c>
      <c r="S29" s="22">
        <f t="shared" si="31"/>
        <v>0.74213759388454792</v>
      </c>
      <c r="T29" s="5"/>
      <c r="U29" s="5"/>
      <c r="V29" s="5"/>
      <c r="W29" s="5"/>
      <c r="Y29" s="5"/>
      <c r="Z29" s="5"/>
      <c r="AB29" s="17">
        <f t="shared" si="41"/>
        <v>0.83333333333333337</v>
      </c>
      <c r="AC29" s="19">
        <f>AE29+'IN (mmol|L)'!$V$49*AF29</f>
        <v>6.9505523109079732</v>
      </c>
      <c r="AD29" s="19">
        <f>AE29-'IN (mmol|L)'!$V$49*AF29</f>
        <v>6.9494811211329051</v>
      </c>
      <c r="AE29" s="19">
        <f t="shared" si="32"/>
        <v>6.9500167160204391</v>
      </c>
      <c r="AF29" s="19">
        <f t="shared" si="33"/>
        <v>5.355948875339332E-4</v>
      </c>
      <c r="AG29" s="5"/>
      <c r="AH29" s="5"/>
      <c r="AI29" s="5"/>
      <c r="AJ29" s="5"/>
      <c r="AK29" s="5"/>
      <c r="AL29" s="5"/>
      <c r="AM29" s="5"/>
      <c r="AN29" s="5"/>
      <c r="AO29" s="11">
        <f t="shared" si="34"/>
        <v>0.83333333333333337</v>
      </c>
      <c r="AP29" s="13">
        <f>AR29+'IN (mmol|L)'!$V$72*AS29</f>
        <v>6.9500003848939089</v>
      </c>
      <c r="AQ29" s="13">
        <f>AR29-'IN (mmol|L)'!$V$72*AS29</f>
        <v>6.9499996190349043</v>
      </c>
      <c r="AR29" s="13">
        <f t="shared" si="35"/>
        <v>6.9500000019644066</v>
      </c>
      <c r="AS29" s="13">
        <f t="shared" si="36"/>
        <v>3.8292950209500951E-7</v>
      </c>
      <c r="AT29" s="5"/>
      <c r="AU29" s="5"/>
      <c r="AV29" s="5"/>
      <c r="AW29" s="5"/>
      <c r="AX29" s="5"/>
      <c r="AY29" s="5"/>
      <c r="AZ29" s="5"/>
      <c r="BA29" s="1"/>
      <c r="BB29" s="1"/>
      <c r="BC29" s="5"/>
      <c r="BD29" s="1"/>
      <c r="BE29" s="1"/>
      <c r="BF29" s="102">
        <f t="shared" si="37"/>
        <v>0.83333333333333337</v>
      </c>
      <c r="BG29" s="104">
        <f>BI29+'IN (mmol|L)'!$V$96*BJ29</f>
        <v>9.5745335473941235</v>
      </c>
      <c r="BH29" s="104">
        <f>BI29-'IN (mmol|L)'!$V$96*BJ29</f>
        <v>6.5449522193644034</v>
      </c>
      <c r="BI29" s="104">
        <f t="shared" si="38"/>
        <v>8.059742883379263</v>
      </c>
      <c r="BJ29" s="104">
        <f t="shared" si="39"/>
        <v>2.2474638931971214</v>
      </c>
    </row>
    <row r="30" spans="1:70">
      <c r="B30" s="14">
        <f>'IN (mmol|L)'!D10</f>
        <v>0.95833333333333337</v>
      </c>
      <c r="C30" s="16">
        <f>E30+'IN (mmol|L)'!$V$3*F30</f>
        <v>10.428000142641109</v>
      </c>
      <c r="D30" s="16">
        <f>E30-'IN (mmol|L)'!$V$3*F30</f>
        <v>5.3719998573588903</v>
      </c>
      <c r="E30" s="16">
        <f t="shared" si="27"/>
        <v>7.8999999999999995</v>
      </c>
      <c r="F30" s="16">
        <f t="shared" si="28"/>
        <v>1.53677820221344</v>
      </c>
      <c r="G30" s="16">
        <f t="shared" si="29"/>
        <v>8.0629629629629633</v>
      </c>
      <c r="H30" s="126"/>
      <c r="I30" s="128"/>
      <c r="J30" s="127"/>
      <c r="L30" s="242"/>
      <c r="M30" s="244"/>
      <c r="N30" s="244"/>
      <c r="O30" s="20">
        <f t="shared" si="40"/>
        <v>0.95833333333333337</v>
      </c>
      <c r="P30" s="22">
        <f>R30+'IN (mmol|L)'!$V$26*S30</f>
        <v>7.8154832429402932</v>
      </c>
      <c r="Q30" s="22">
        <f>R30-'IN (mmol|L)'!$V$26*S30</f>
        <v>5.9858456258986079</v>
      </c>
      <c r="R30" s="22">
        <f t="shared" si="30"/>
        <v>6.9006644344194505</v>
      </c>
      <c r="S30" s="22">
        <f t="shared" si="31"/>
        <v>0.55612085624367313</v>
      </c>
      <c r="T30" s="5"/>
      <c r="U30" s="5"/>
      <c r="V30" s="5"/>
      <c r="W30" s="5"/>
      <c r="Y30" s="5"/>
      <c r="Z30" s="5"/>
      <c r="AB30" s="17">
        <f t="shared" si="41"/>
        <v>0.95833333333333337</v>
      </c>
      <c r="AC30" s="19">
        <f>AE30+'IN (mmol|L)'!$V$49*AF30</f>
        <v>6.9726937742720594</v>
      </c>
      <c r="AD30" s="19">
        <f>AE30-'IN (mmol|L)'!$V$49*AF30</f>
        <v>6.971846362890247</v>
      </c>
      <c r="AE30" s="19">
        <f t="shared" si="32"/>
        <v>6.9722700685811532</v>
      </c>
      <c r="AF30" s="19">
        <f t="shared" si="33"/>
        <v>4.2370569090632832E-4</v>
      </c>
      <c r="AG30" s="5"/>
      <c r="AH30" s="5"/>
      <c r="AI30" s="5"/>
      <c r="AJ30" s="5"/>
      <c r="AK30" s="5"/>
      <c r="AL30" s="5"/>
      <c r="AM30" s="5"/>
      <c r="AN30" s="5"/>
      <c r="AO30" s="11">
        <f t="shared" si="34"/>
        <v>0.95833333333333337</v>
      </c>
      <c r="AP30" s="13">
        <f>AR30+'IN (mmol|L)'!$V$72*AS30</f>
        <v>6.9722225097586525</v>
      </c>
      <c r="AQ30" s="13">
        <f>AR30-'IN (mmol|L)'!$V$72*AS30</f>
        <v>6.9722218745192892</v>
      </c>
      <c r="AR30" s="13">
        <f t="shared" si="35"/>
        <v>6.9722221921389709</v>
      </c>
      <c r="AS30" s="13">
        <f t="shared" si="36"/>
        <v>3.1761968138501217E-7</v>
      </c>
      <c r="AT30" s="5"/>
      <c r="AU30" s="5"/>
      <c r="AV30" s="5"/>
      <c r="AW30" s="5"/>
      <c r="AX30" s="5"/>
      <c r="AY30" s="5"/>
      <c r="AZ30" s="5"/>
      <c r="BA30" s="1"/>
      <c r="BB30" s="1"/>
      <c r="BC30" s="5"/>
      <c r="BD30" s="1"/>
      <c r="BE30" s="1"/>
      <c r="BF30" s="102">
        <f t="shared" si="37"/>
        <v>0.95833333333333337</v>
      </c>
      <c r="BG30" s="104">
        <f>BI30+'IN (mmol|L)'!$V$96*BJ30</f>
        <v>8.3063471522836707</v>
      </c>
      <c r="BH30" s="104">
        <f>BI30-'IN (mmol|L)'!$V$96*BJ30</f>
        <v>6.1927162085979894</v>
      </c>
      <c r="BI30" s="104">
        <f t="shared" si="38"/>
        <v>7.2495316804408301</v>
      </c>
      <c r="BJ30" s="104">
        <f t="shared" si="39"/>
        <v>1.5679754775116332</v>
      </c>
    </row>
    <row r="31" spans="1:70" ht="14" thickBot="1">
      <c r="B31" s="14" t="str">
        <f>'IN (mmol|L)'!D11</f>
        <v>Nacht</v>
      </c>
      <c r="C31" s="16">
        <f>E31+'IN (mmol|L)'!$V$3*F31</f>
        <v>6.9028354397530256</v>
      </c>
      <c r="D31" s="16">
        <f>E31-'IN (mmol|L)'!$V$3*F31</f>
        <v>5.3706688337512469</v>
      </c>
      <c r="E31" s="16">
        <f t="shared" si="27"/>
        <v>6.1367521367521363</v>
      </c>
      <c r="F31" s="16">
        <f t="shared" si="28"/>
        <v>0.46570413556285051</v>
      </c>
      <c r="G31" s="16">
        <f t="shared" si="29"/>
        <v>5.9604938271604944</v>
      </c>
      <c r="H31" s="1511" t="s">
        <v>137</v>
      </c>
      <c r="I31" s="1512"/>
      <c r="J31" s="1513"/>
      <c r="L31" s="242"/>
      <c r="M31" s="244"/>
      <c r="N31" s="244"/>
      <c r="O31" s="20" t="str">
        <f>$A11</f>
        <v>Nacht</v>
      </c>
      <c r="P31" s="22">
        <f>R31+'IN (mmol|L)'!$V$26*S31</f>
        <v>6.1904245034750947</v>
      </c>
      <c r="Q31" s="22">
        <f>R31-'IN (mmol|L)'!$V$26*S31</f>
        <v>5.9212302963268382</v>
      </c>
      <c r="R31" s="22">
        <f t="shared" si="30"/>
        <v>6.0558273999009664</v>
      </c>
      <c r="S31" s="22">
        <f t="shared" si="31"/>
        <v>8.1821947461476072E-2</v>
      </c>
      <c r="T31" s="5"/>
      <c r="U31" s="5"/>
      <c r="V31" s="5"/>
      <c r="W31" s="5"/>
      <c r="Y31" s="5"/>
      <c r="Z31" s="5"/>
      <c r="AB31" s="17" t="str">
        <f t="shared" si="41"/>
        <v>Nacht</v>
      </c>
      <c r="AC31" s="19">
        <f>AE31+'IN (mmol|L)'!$V$49*AF31</f>
        <v>6.0723040174901906</v>
      </c>
      <c r="AD31" s="19">
        <f>AE31-'IN (mmol|L)'!$V$49*AF31</f>
        <v>6.0721665591954421</v>
      </c>
      <c r="AE31" s="19">
        <f t="shared" si="32"/>
        <v>6.0722352883428163</v>
      </c>
      <c r="AF31" s="19">
        <f t="shared" si="33"/>
        <v>6.8729147374325917E-5</v>
      </c>
      <c r="AG31" s="5"/>
      <c r="AH31" s="5"/>
      <c r="AI31" s="5"/>
      <c r="AJ31" s="5"/>
      <c r="AK31" s="5"/>
      <c r="AL31" s="5"/>
      <c r="AM31" s="5"/>
      <c r="AN31" s="5"/>
      <c r="AO31" s="11" t="str">
        <f t="shared" si="34"/>
        <v>Nacht</v>
      </c>
      <c r="AP31" s="13">
        <f>AR31+'IN (mmol|L)'!$V$72*AS31</f>
        <v>6.0722222688344418</v>
      </c>
      <c r="AQ31" s="13">
        <f>AR31-'IN (mmol|L)'!$V$72*AS31</f>
        <v>6.0722221552322635</v>
      </c>
      <c r="AR31" s="13">
        <f t="shared" si="35"/>
        <v>6.0722222120333527</v>
      </c>
      <c r="AS31" s="13">
        <f t="shared" si="36"/>
        <v>5.6801089326630475E-8</v>
      </c>
      <c r="AT31" s="5"/>
      <c r="AU31" s="5"/>
      <c r="AV31" s="5"/>
      <c r="AW31" s="5"/>
      <c r="AX31" s="5"/>
      <c r="AY31" s="5"/>
      <c r="AZ31" s="5"/>
      <c r="BA31" s="1"/>
      <c r="BB31" s="1"/>
      <c r="BC31" s="5"/>
      <c r="BD31" s="1"/>
      <c r="BE31" s="1"/>
      <c r="BF31" s="102" t="str">
        <f t="shared" si="37"/>
        <v>Nacht</v>
      </c>
      <c r="BG31" s="104">
        <f>BI31+'IN (mmol|L)'!$V$96*BJ31</f>
        <v>6.6035306277740906</v>
      </c>
      <c r="BH31" s="104">
        <f>BI31-'IN (mmol|L)'!$V$96*BJ31</f>
        <v>5.8957347533094664</v>
      </c>
      <c r="BI31" s="104">
        <f t="shared" si="38"/>
        <v>6.2496326905417785</v>
      </c>
      <c r="BJ31" s="104">
        <f t="shared" si="39"/>
        <v>0.52507112349007679</v>
      </c>
    </row>
    <row r="32" spans="1:70">
      <c r="B32" s="14" t="str">
        <f>'IN (mmol|L)'!D12</f>
        <v>Früh</v>
      </c>
      <c r="C32" s="16">
        <f>E32+'IN (mmol|L)'!$V$3*F32</f>
        <v>6.2953515814584478</v>
      </c>
      <c r="D32" s="16">
        <f>E32-'IN (mmol|L)'!$V$3*F32</f>
        <v>5.9882191687789703</v>
      </c>
      <c r="E32" s="16">
        <f t="shared" si="27"/>
        <v>6.141785375118709</v>
      </c>
      <c r="F32" s="16">
        <f t="shared" si="28"/>
        <v>9.3353316923853402E-2</v>
      </c>
      <c r="G32" s="16">
        <f t="shared" si="29"/>
        <v>6.1543209876543203</v>
      </c>
      <c r="H32" s="5"/>
      <c r="I32" s="5"/>
      <c r="J32" s="5"/>
      <c r="L32" s="242"/>
      <c r="M32" s="244"/>
      <c r="N32" s="244"/>
      <c r="O32" s="20" t="str">
        <f>$A12</f>
        <v>Früh</v>
      </c>
      <c r="P32" s="22">
        <f>R32+'IN (mmol|L)'!$V$26*S32</f>
        <v>6.2742344959769643</v>
      </c>
      <c r="Q32" s="22">
        <f>R32-'IN (mmol|L)'!$V$26*S32</f>
        <v>6.1973511226778495</v>
      </c>
      <c r="R32" s="22">
        <f t="shared" si="30"/>
        <v>6.2357928093274069</v>
      </c>
      <c r="S32" s="22">
        <f t="shared" si="31"/>
        <v>2.3368806473894846E-2</v>
      </c>
      <c r="T32" s="5"/>
      <c r="U32" s="5"/>
      <c r="V32" s="5"/>
      <c r="W32" s="5"/>
      <c r="Y32" s="5"/>
      <c r="Z32" s="5"/>
      <c r="AB32" s="17" t="str">
        <f t="shared" si="41"/>
        <v>Früh</v>
      </c>
      <c r="AC32" s="19">
        <f>AE32+'IN (mmol|L)'!$V$49*AF32</f>
        <v>6.2356125459505121</v>
      </c>
      <c r="AD32" s="19">
        <f>AE32-'IN (mmol|L)'!$V$49*AF32</f>
        <v>6.2355790830288553</v>
      </c>
      <c r="AE32" s="19">
        <f t="shared" si="32"/>
        <v>6.2355958144896837</v>
      </c>
      <c r="AF32" s="19">
        <f t="shared" si="33"/>
        <v>1.6731460828059211E-5</v>
      </c>
      <c r="AG32" s="5"/>
      <c r="AH32" s="5"/>
      <c r="AI32" s="5"/>
      <c r="AJ32" s="5"/>
      <c r="AK32" s="5"/>
      <c r="AL32" s="5"/>
      <c r="AM32" s="5"/>
      <c r="AN32" s="5"/>
      <c r="AO32" s="11" t="str">
        <f t="shared" si="34"/>
        <v>Früh</v>
      </c>
      <c r="AP32" s="13">
        <f>AR32+'IN (mmol|L)'!$V$72*AS32</f>
        <v>6.235596721320511</v>
      </c>
      <c r="AQ32" s="13">
        <f>AR32-'IN (mmol|L)'!$V$72*AS32</f>
        <v>6.2355966968707017</v>
      </c>
      <c r="AR32" s="13">
        <f t="shared" si="35"/>
        <v>6.2355967090956064</v>
      </c>
      <c r="AS32" s="13">
        <f t="shared" si="36"/>
        <v>1.2224905060376108E-8</v>
      </c>
      <c r="AT32" s="5"/>
      <c r="AU32" s="5"/>
      <c r="AV32" s="5"/>
      <c r="AW32" s="5"/>
      <c r="AX32" s="5"/>
      <c r="AY32" s="5"/>
      <c r="AZ32" s="5"/>
      <c r="BA32" s="1"/>
      <c r="BB32" s="1"/>
      <c r="BC32" s="5"/>
      <c r="BD32" s="1"/>
      <c r="BE32" s="1"/>
      <c r="BF32" s="102" t="str">
        <f t="shared" si="37"/>
        <v>Früh</v>
      </c>
      <c r="BG32" s="104">
        <f>BI32+'IN (mmol|L)'!$V$96*BJ32</f>
        <v>6.2455924560265537</v>
      </c>
      <c r="BH32" s="104">
        <f>BI32-'IN (mmol|L)'!$V$96*BJ32</f>
        <v>6.1388336229449827</v>
      </c>
      <c r="BI32" s="104">
        <f t="shared" si="38"/>
        <v>6.1922130394857682</v>
      </c>
      <c r="BJ32" s="104">
        <f t="shared" si="39"/>
        <v>7.9197947389888876E-2</v>
      </c>
    </row>
    <row r="33" spans="1:70">
      <c r="B33" s="23" t="str">
        <f>'IN (mmol|L)'!E3</f>
        <v>SO</v>
      </c>
      <c r="C33" s="23" t="str">
        <f>'IN (mmol|L)'!F3</f>
        <v>SO</v>
      </c>
      <c r="D33" s="23" t="str">
        <f>'IN (mmol|L)'!G3</f>
        <v>SO</v>
      </c>
      <c r="E33" s="23" t="str">
        <f>'IN (mmol|L)'!H3</f>
        <v>SO</v>
      </c>
      <c r="F33" s="23" t="str">
        <f>'IN (mmol|L)'!I3</f>
        <v>SO</v>
      </c>
      <c r="G33" s="23" t="str">
        <f>'IN (mmol|L)'!J3</f>
        <v>SO</v>
      </c>
      <c r="H33" s="23" t="str">
        <f>'IN (mmol|L)'!K3</f>
        <v>SO</v>
      </c>
      <c r="I33" s="23" t="str">
        <f>'IN (mmol|L)'!L3</f>
        <v>SO</v>
      </c>
      <c r="J33" s="23" t="str">
        <f>'IN (mmol|L)'!M3</f>
        <v>SO</v>
      </c>
      <c r="K33" s="23" t="str">
        <f>'IN (mmol|L)'!N3</f>
        <v>SO</v>
      </c>
      <c r="L33" s="23" t="str">
        <f>'IN (mmol|L)'!O3</f>
        <v>SO</v>
      </c>
      <c r="M33" s="23" t="str">
        <f>'IN (mmol|L)'!P3</f>
        <v>SO</v>
      </c>
      <c r="N33" s="23" t="str">
        <f>'IN (mmol|L)'!Q3</f>
        <v>SO</v>
      </c>
      <c r="O33" s="23" t="str">
        <f>'IN (mmol|L)'!E26</f>
        <v>SO</v>
      </c>
      <c r="P33" s="23" t="str">
        <f>'IN (mmol|L)'!F26</f>
        <v>SO</v>
      </c>
      <c r="Q33" s="23" t="str">
        <f>'IN (mmol|L)'!G26</f>
        <v>SO</v>
      </c>
      <c r="R33" s="23" t="str">
        <f>'IN (mmol|L)'!H26</f>
        <v>SO</v>
      </c>
      <c r="S33" s="23" t="str">
        <f>'IN (mmol|L)'!I26</f>
        <v>SO</v>
      </c>
      <c r="T33" s="23" t="str">
        <f>'IN (mmol|L)'!J26</f>
        <v>SO</v>
      </c>
      <c r="U33" s="23" t="str">
        <f>'IN (mmol|L)'!K26</f>
        <v>SO</v>
      </c>
      <c r="V33" s="23" t="str">
        <f>'IN (mmol|L)'!L26</f>
        <v>SO</v>
      </c>
      <c r="W33" s="23" t="str">
        <f>'IN (mmol|L)'!M26</f>
        <v>SO</v>
      </c>
      <c r="X33" s="23" t="str">
        <f>'IN (mmol|L)'!N26</f>
        <v>SO</v>
      </c>
      <c r="Y33" s="23" t="str">
        <f>'IN (mmol|L)'!O26</f>
        <v>SO</v>
      </c>
      <c r="Z33" s="23" t="str">
        <f>'IN (mmol|L)'!P26</f>
        <v>SO</v>
      </c>
      <c r="AA33" s="23" t="str">
        <f>'IN (mmol|L)'!Q26</f>
        <v>SO</v>
      </c>
      <c r="AB33" s="23" t="str">
        <f>'IN (mmol|L)'!E49</f>
        <v>SO</v>
      </c>
      <c r="AC33" s="23" t="str">
        <f>'IN (mmol|L)'!F49</f>
        <v>SO</v>
      </c>
      <c r="AD33" s="23" t="str">
        <f>'IN (mmol|L)'!G49</f>
        <v>SO</v>
      </c>
      <c r="AE33" s="23" t="str">
        <f>'IN (mmol|L)'!H49</f>
        <v>SO</v>
      </c>
      <c r="AF33" s="23" t="str">
        <f>'IN (mmol|L)'!I49</f>
        <v>SO</v>
      </c>
      <c r="AG33" s="23" t="str">
        <f>'IN (mmol|L)'!J49</f>
        <v>SO</v>
      </c>
      <c r="AH33" s="23" t="str">
        <f>'IN (mmol|L)'!K49</f>
        <v>SO</v>
      </c>
      <c r="AI33" s="23" t="str">
        <f>'IN (mmol|L)'!L49</f>
        <v>SO</v>
      </c>
      <c r="AJ33" s="23" t="str">
        <f>'IN (mmol|L)'!M49</f>
        <v>SO</v>
      </c>
      <c r="AK33" s="23" t="str">
        <f>'IN (mmol|L)'!N49</f>
        <v>SO</v>
      </c>
      <c r="AL33" s="23" t="str">
        <f>'IN (mmol|L)'!O49</f>
        <v>SO</v>
      </c>
      <c r="AM33" s="23" t="str">
        <f>'IN (mmol|L)'!P49</f>
        <v>SO</v>
      </c>
      <c r="AN33" s="23" t="str">
        <f>'IN (mmol|L)'!Q49</f>
        <v>SO</v>
      </c>
      <c r="AO33" s="23" t="str">
        <f>'IN (mmol|L)'!E72</f>
        <v>SO</v>
      </c>
      <c r="AP33" s="23" t="str">
        <f>'IN (mmol|L)'!F72</f>
        <v>SO</v>
      </c>
      <c r="AQ33" s="23" t="str">
        <f>'IN (mmol|L)'!G72</f>
        <v>SO</v>
      </c>
      <c r="AR33" s="23" t="str">
        <f>'IN (mmol|L)'!H72</f>
        <v>SO</v>
      </c>
      <c r="AS33" s="23" t="str">
        <f>'IN (mmol|L)'!I72</f>
        <v>SO</v>
      </c>
      <c r="AT33" s="23" t="str">
        <f>'IN (mmol|L)'!J72</f>
        <v>SO</v>
      </c>
      <c r="AU33" s="23" t="str">
        <f>'IN (mmol|L)'!K72</f>
        <v>SO</v>
      </c>
      <c r="AV33" s="23" t="str">
        <f>'IN (mmol|L)'!L72</f>
        <v>SO</v>
      </c>
      <c r="AW33" s="23" t="str">
        <f>'IN (mmol|L)'!M72</f>
        <v>SO</v>
      </c>
      <c r="AX33" s="23" t="str">
        <f>'IN (mmol|L)'!N72</f>
        <v>SO</v>
      </c>
      <c r="AY33" s="23" t="str">
        <f>'IN (mmol|L)'!O72</f>
        <v>SO</v>
      </c>
      <c r="AZ33" s="23" t="str">
        <f>'IN (mmol|L)'!P72</f>
        <v>SO</v>
      </c>
      <c r="BA33" s="23" t="str">
        <f>'IN (mmol|L)'!Q72</f>
        <v>SO</v>
      </c>
      <c r="BB33" s="1" t="s">
        <v>51</v>
      </c>
      <c r="BC33" s="1"/>
      <c r="BD33" s="1"/>
      <c r="BE33" s="1"/>
      <c r="BF33" s="23" t="str">
        <f>BF3</f>
        <v>SO</v>
      </c>
      <c r="BG33" s="23" t="str">
        <f t="shared" ref="BG33:BM33" si="42">BG3</f>
        <v>MI</v>
      </c>
      <c r="BH33" s="23" t="str">
        <f t="shared" si="42"/>
        <v>SO</v>
      </c>
      <c r="BI33" s="23" t="str">
        <f t="shared" si="42"/>
        <v>MI</v>
      </c>
      <c r="BJ33" s="23" t="str">
        <f t="shared" si="42"/>
        <v>SO</v>
      </c>
      <c r="BK33" s="23" t="str">
        <f t="shared" si="42"/>
        <v>MI</v>
      </c>
      <c r="BL33" s="23" t="str">
        <f t="shared" si="42"/>
        <v>SO</v>
      </c>
      <c r="BM33" s="23" t="str">
        <f t="shared" si="42"/>
        <v>MI</v>
      </c>
      <c r="BN33" s="23" t="str">
        <f>BQ3</f>
        <v>MI</v>
      </c>
      <c r="BO33" s="23" t="str">
        <f>BR3</f>
        <v>MI</v>
      </c>
      <c r="BP33" s="1" t="s">
        <v>51</v>
      </c>
    </row>
    <row r="34" spans="1:70" ht="1" customHeight="1">
      <c r="AS34" s="5"/>
      <c r="AT34" s="1"/>
      <c r="AU34" s="1"/>
      <c r="AV34" s="1"/>
    </row>
    <row r="35" spans="1:70" ht="1" customHeight="1">
      <c r="AS35" s="5"/>
      <c r="AT35" s="1"/>
      <c r="AU35" s="1"/>
      <c r="AV35" s="1"/>
    </row>
    <row r="36" spans="1:70" ht="1" customHeight="1">
      <c r="AP36" s="5"/>
      <c r="AQ36" s="1"/>
      <c r="AR36" s="1"/>
      <c r="AS36" s="1"/>
    </row>
    <row r="37" spans="1:70" ht="1" customHeight="1">
      <c r="AP37" s="5"/>
      <c r="AQ37" s="1"/>
      <c r="AR37" s="1"/>
      <c r="AS37" s="1"/>
    </row>
    <row r="38" spans="1:70" ht="1" customHeight="1">
      <c r="AP38" s="5"/>
      <c r="AQ38" s="1"/>
      <c r="AR38" s="1"/>
      <c r="AS38" s="1"/>
    </row>
    <row r="39" spans="1:70" ht="1" customHeight="1">
      <c r="AP39" s="5"/>
      <c r="AQ39" s="1"/>
      <c r="AR39" s="1"/>
      <c r="AS39" s="1"/>
    </row>
    <row r="40" spans="1:70" ht="1" customHeight="1" thickBot="1">
      <c r="A40" s="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1"/>
      <c r="AQ40" s="1"/>
      <c r="AR40" s="1"/>
      <c r="AS40" s="1"/>
    </row>
    <row r="41" spans="1:70" ht="14" thickBot="1"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268"/>
      <c r="AS41" s="269"/>
      <c r="AT41" s="270" t="s">
        <v>39</v>
      </c>
      <c r="AU41" s="271"/>
      <c r="AV41" s="271"/>
      <c r="AW41" s="271"/>
      <c r="AX41" s="271"/>
      <c r="AY41" s="271"/>
      <c r="AZ41" s="271"/>
      <c r="BA41" s="271"/>
      <c r="BB41" s="271"/>
      <c r="BC41" s="272"/>
      <c r="BF41" s="308">
        <f>BF21</f>
        <v>41274</v>
      </c>
      <c r="BG41" s="308">
        <f t="shared" ref="BG41:BR41" si="43">BG21</f>
        <v>41277.5</v>
      </c>
      <c r="BH41" s="308">
        <f t="shared" si="43"/>
        <v>41281</v>
      </c>
      <c r="BI41" s="308">
        <f t="shared" si="43"/>
        <v>41284.5</v>
      </c>
      <c r="BJ41" s="308">
        <f t="shared" si="43"/>
        <v>41288</v>
      </c>
      <c r="BK41" s="308">
        <f t="shared" si="43"/>
        <v>41291.5</v>
      </c>
      <c r="BL41" s="308">
        <f t="shared" si="43"/>
        <v>41295</v>
      </c>
      <c r="BM41" s="308">
        <f t="shared" si="43"/>
        <v>41298.5</v>
      </c>
      <c r="BN41" s="308">
        <f t="shared" si="43"/>
        <v>41302</v>
      </c>
      <c r="BO41" s="308">
        <f t="shared" si="43"/>
        <v>41305.5</v>
      </c>
      <c r="BP41" s="308">
        <f t="shared" si="43"/>
        <v>41312.5</v>
      </c>
      <c r="BQ41" s="308">
        <f t="shared" si="43"/>
        <v>41319.5</v>
      </c>
      <c r="BR41" s="308">
        <f t="shared" si="43"/>
        <v>41326.5</v>
      </c>
    </row>
    <row r="42" spans="1:70" ht="14" thickBot="1"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273"/>
      <c r="AS42" s="274" t="s">
        <v>44</v>
      </c>
      <c r="AT42" s="120" t="s">
        <v>173</v>
      </c>
      <c r="AU42" s="121" t="s">
        <v>181</v>
      </c>
      <c r="AV42" s="121" t="s">
        <v>174</v>
      </c>
      <c r="AW42" s="121" t="s">
        <v>175</v>
      </c>
      <c r="AX42" s="121" t="s">
        <v>176</v>
      </c>
      <c r="AY42" s="121" t="s">
        <v>177</v>
      </c>
      <c r="AZ42" s="121" t="s">
        <v>178</v>
      </c>
      <c r="BA42" s="121" t="s">
        <v>179</v>
      </c>
      <c r="BB42" s="121" t="s">
        <v>180</v>
      </c>
      <c r="BC42" s="122" t="s">
        <v>182</v>
      </c>
    </row>
    <row r="43" spans="1:70" ht="14" thickBot="1"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275"/>
      <c r="AS43" s="276"/>
      <c r="AT43" s="313">
        <f t="shared" ref="AT43:BC43" si="44">B20+O20+AB20+AO20</f>
        <v>0</v>
      </c>
      <c r="AU43" s="118">
        <f t="shared" si="44"/>
        <v>0</v>
      </c>
      <c r="AV43" s="118">
        <f t="shared" si="44"/>
        <v>3</v>
      </c>
      <c r="AW43" s="118">
        <f t="shared" si="44"/>
        <v>56</v>
      </c>
      <c r="AX43" s="118">
        <f t="shared" si="44"/>
        <v>22</v>
      </c>
      <c r="AY43" s="118">
        <f t="shared" si="44"/>
        <v>172</v>
      </c>
      <c r="AZ43" s="118">
        <f t="shared" si="44"/>
        <v>209</v>
      </c>
      <c r="BA43" s="118">
        <f t="shared" si="44"/>
        <v>6</v>
      </c>
      <c r="BB43" s="118">
        <f t="shared" si="44"/>
        <v>0</v>
      </c>
      <c r="BC43" s="119">
        <f t="shared" si="44"/>
        <v>0</v>
      </c>
    </row>
    <row r="44" spans="1:70" ht="1" customHeight="1"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</row>
    <row r="45" spans="1:70" ht="1" customHeight="1"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</row>
    <row r="46" spans="1:70" ht="1" customHeight="1"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</row>
    <row r="47" spans="1:70" ht="1" customHeight="1"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</row>
    <row r="48" spans="1:70" ht="1" customHeight="1"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</row>
    <row r="49" spans="22:45" ht="1" customHeight="1"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</row>
    <row r="50" spans="22:45" ht="1" customHeight="1"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</row>
    <row r="51" spans="22:45" ht="1" customHeight="1"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</row>
    <row r="52" spans="22:45" ht="1" customHeight="1"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</row>
    <row r="53" spans="22:45" ht="1" customHeight="1"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</row>
    <row r="54" spans="22:45" ht="1" customHeight="1"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</row>
    <row r="55" spans="22:45" ht="1" customHeight="1"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</row>
    <row r="56" spans="22:45" ht="1" customHeight="1"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</row>
    <row r="57" spans="22:45" ht="1" customHeight="1"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</row>
    <row r="58" spans="22:45" ht="1" customHeight="1"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</row>
    <row r="59" spans="22:45" ht="1" customHeight="1"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</row>
    <row r="60" spans="22:45" ht="1" customHeight="1"/>
    <row r="61" spans="22:45" ht="1" customHeight="1">
      <c r="V61" s="105"/>
      <c r="W61" s="105"/>
      <c r="X61" s="105"/>
      <c r="Y61" s="105"/>
      <c r="Z61" s="105"/>
      <c r="AA61" s="105"/>
      <c r="AB61" s="105"/>
      <c r="AC61" s="106"/>
    </row>
    <row r="62" spans="22:45" ht="1" customHeight="1"/>
    <row r="63" spans="22:45" ht="1" customHeight="1"/>
    <row r="64" spans="22:45" ht="1" customHeight="1"/>
    <row r="65" spans="1:71" ht="1.75" customHeight="1"/>
    <row r="66" spans="1:71">
      <c r="A66" s="200" t="s">
        <v>45</v>
      </c>
      <c r="B66" s="192">
        <f>'IN (mmol|L)'!E2</f>
        <v>1</v>
      </c>
      <c r="C66" s="192">
        <f>'IN (mmol|L)'!F2</f>
        <v>2</v>
      </c>
      <c r="D66" s="192">
        <f>'IN (mmol|L)'!G2</f>
        <v>3</v>
      </c>
      <c r="E66" s="192">
        <f>'IN (mmol|L)'!H2</f>
        <v>4</v>
      </c>
      <c r="F66" s="192">
        <f>'IN (mmol|L)'!I2</f>
        <v>5</v>
      </c>
      <c r="G66" s="192">
        <f>'IN (mmol|L)'!J2</f>
        <v>6</v>
      </c>
      <c r="H66" s="192">
        <f>'IN (mmol|L)'!K2</f>
        <v>7</v>
      </c>
      <c r="I66" s="192">
        <f>'IN (mmol|L)'!L2</f>
        <v>8</v>
      </c>
      <c r="J66" s="192">
        <f>'IN (mmol|L)'!M2</f>
        <v>9</v>
      </c>
      <c r="K66" s="192">
        <f>'IN (mmol|L)'!N2</f>
        <v>10</v>
      </c>
      <c r="L66" s="192">
        <f>'IN (mmol|L)'!O2</f>
        <v>11</v>
      </c>
      <c r="M66" s="192">
        <f>'IN (mmol|L)'!P2</f>
        <v>12</v>
      </c>
      <c r="N66" s="192">
        <f>'IN (mmol|L)'!Q2</f>
        <v>13</v>
      </c>
      <c r="O66" s="193">
        <f>'IN (mmol|L)'!E25</f>
        <v>14</v>
      </c>
      <c r="P66" s="193">
        <f>'IN (mmol|L)'!F25</f>
        <v>15</v>
      </c>
      <c r="Q66" s="193">
        <f>'IN (mmol|L)'!G25</f>
        <v>16</v>
      </c>
      <c r="R66" s="193">
        <f>'IN (mmol|L)'!H25</f>
        <v>17</v>
      </c>
      <c r="S66" s="193">
        <f>'IN (mmol|L)'!I25</f>
        <v>18</v>
      </c>
      <c r="T66" s="193">
        <f>'IN (mmol|L)'!J25</f>
        <v>19</v>
      </c>
      <c r="U66" s="193">
        <f>'IN (mmol|L)'!K25</f>
        <v>20</v>
      </c>
      <c r="V66" s="193">
        <f>'IN (mmol|L)'!L25</f>
        <v>21</v>
      </c>
      <c r="W66" s="193">
        <f>'IN (mmol|L)'!M25</f>
        <v>22</v>
      </c>
      <c r="X66" s="193">
        <f>'IN (mmol|L)'!N25</f>
        <v>23</v>
      </c>
      <c r="Y66" s="193">
        <f>'IN (mmol|L)'!O25</f>
        <v>24</v>
      </c>
      <c r="Z66" s="193">
        <f>'IN (mmol|L)'!P25</f>
        <v>25</v>
      </c>
      <c r="AA66" s="193">
        <f>'IN (mmol|L)'!Q25</f>
        <v>26</v>
      </c>
      <c r="AB66" s="194">
        <f>'IN (mmol|L)'!E48</f>
        <v>27</v>
      </c>
      <c r="AC66" s="194">
        <f>'IN (mmol|L)'!F48</f>
        <v>28</v>
      </c>
      <c r="AD66" s="194">
        <f>'IN (mmol|L)'!G48</f>
        <v>29</v>
      </c>
      <c r="AE66" s="194">
        <f>'IN (mmol|L)'!H48</f>
        <v>30</v>
      </c>
      <c r="AF66" s="194">
        <f>'IN (mmol|L)'!I48</f>
        <v>31</v>
      </c>
      <c r="AG66" s="194">
        <f>'IN (mmol|L)'!J48</f>
        <v>32</v>
      </c>
      <c r="AH66" s="194">
        <f>'IN (mmol|L)'!K48</f>
        <v>33</v>
      </c>
      <c r="AI66" s="194">
        <f>'IN (mmol|L)'!L48</f>
        <v>34</v>
      </c>
      <c r="AJ66" s="194">
        <f>'IN (mmol|L)'!M48</f>
        <v>35</v>
      </c>
      <c r="AK66" s="194">
        <f>'IN (mmol|L)'!N48</f>
        <v>36</v>
      </c>
      <c r="AL66" s="194">
        <f>'IN (mmol|L)'!O48</f>
        <v>37</v>
      </c>
      <c r="AM66" s="194">
        <f>'IN (mmol|L)'!P48</f>
        <v>38</v>
      </c>
      <c r="AN66" s="194">
        <f>'IN (mmol|L)'!Q48</f>
        <v>39</v>
      </c>
      <c r="AO66" s="195">
        <f>'IN (mmol|L)'!E71</f>
        <v>40</v>
      </c>
      <c r="AP66" s="195">
        <f>'IN (mmol|L)'!F71</f>
        <v>41</v>
      </c>
      <c r="AQ66" s="195">
        <f>'IN (mmol|L)'!G71</f>
        <v>42</v>
      </c>
      <c r="AR66" s="195">
        <f>'IN (mmol|L)'!H71</f>
        <v>43</v>
      </c>
      <c r="AS66" s="195">
        <f>'IN (mmol|L)'!I71</f>
        <v>44</v>
      </c>
      <c r="AT66" s="195">
        <f>'IN (mmol|L)'!J71</f>
        <v>45</v>
      </c>
      <c r="AU66" s="195">
        <f>'IN (mmol|L)'!K71</f>
        <v>46</v>
      </c>
      <c r="AV66" s="195">
        <f>'IN (mmol|L)'!L71</f>
        <v>47</v>
      </c>
      <c r="AW66" s="195">
        <f>'IN (mmol|L)'!M71</f>
        <v>48</v>
      </c>
      <c r="AX66" s="195">
        <f>'IN (mmol|L)'!N71</f>
        <v>49</v>
      </c>
      <c r="AY66" s="195">
        <f>'IN (mmol|L)'!O71</f>
        <v>50</v>
      </c>
      <c r="AZ66" s="195">
        <f>'IN (mmol|L)'!P71</f>
        <v>51</v>
      </c>
      <c r="BA66" s="248">
        <f>'IN (mmol|L)'!Q71</f>
        <v>52</v>
      </c>
      <c r="BE66" s="200" t="s">
        <v>45</v>
      </c>
      <c r="BF66" s="215">
        <f>'IN (mmol|L)'!E95</f>
        <v>1</v>
      </c>
      <c r="BG66" s="215">
        <f>'IN (mmol|L)'!F95</f>
        <v>1</v>
      </c>
      <c r="BH66" s="215">
        <f>'IN (mmol|L)'!G95</f>
        <v>2</v>
      </c>
      <c r="BI66" s="215">
        <f>'IN (mmol|L)'!H95</f>
        <v>2</v>
      </c>
      <c r="BJ66" s="215">
        <f>'IN (mmol|L)'!I95</f>
        <v>3</v>
      </c>
      <c r="BK66" s="215">
        <f>'IN (mmol|L)'!J95</f>
        <v>3</v>
      </c>
      <c r="BL66" s="215">
        <f>'IN (mmol|L)'!K95</f>
        <v>4</v>
      </c>
      <c r="BM66" s="215">
        <f>'IN (mmol|L)'!L95</f>
        <v>4</v>
      </c>
      <c r="BN66" s="215">
        <f>'IN (mmol|L)'!M95</f>
        <v>5</v>
      </c>
      <c r="BO66" s="215">
        <f>'IN (mmol|L)'!N95</f>
        <v>5</v>
      </c>
      <c r="BP66" s="215">
        <f>'IN (mmol|L)'!O95</f>
        <v>6</v>
      </c>
      <c r="BQ66" s="215">
        <f>'IN (mmol|L)'!P95</f>
        <v>7</v>
      </c>
      <c r="BR66" s="249">
        <f>'IN (mmol|L)'!Q95</f>
        <v>8</v>
      </c>
    </row>
    <row r="67" spans="1:71">
      <c r="A67" s="3">
        <f t="shared" ref="A67:A75" si="45">A4</f>
        <v>0.29166666666666669</v>
      </c>
      <c r="B67" s="1150">
        <f>'IN (mmol|L)'!E4</f>
        <v>6.166666666666667</v>
      </c>
      <c r="C67" s="1150">
        <f>'IN (mmol|L)'!F4</f>
        <v>6.1111111111111107</v>
      </c>
      <c r="D67" s="1150">
        <f>'IN (mmol|L)'!G4</f>
        <v>6</v>
      </c>
      <c r="E67" s="1150">
        <f>'IN (mmol|L)'!H4</f>
        <v>6.2222222222222223</v>
      </c>
      <c r="F67" s="1150">
        <f>'IN (mmol|L)'!I4</f>
        <v>6</v>
      </c>
      <c r="G67" s="1150">
        <f>'IN (mmol|L)'!J4</f>
        <v>6.2777777777777777</v>
      </c>
      <c r="H67" s="1150">
        <f>'IN (mmol|L)'!K4</f>
        <v>6.2222222222222223</v>
      </c>
      <c r="I67" s="1150">
        <f>'IN (mmol|L)'!L4</f>
        <v>6.2</v>
      </c>
      <c r="J67" s="1150">
        <f>'IN (mmol|L)'!M4</f>
        <v>6.1</v>
      </c>
      <c r="K67" s="1150">
        <f>'IN (mmol|L)'!N4</f>
        <v>6</v>
      </c>
      <c r="L67" s="1150">
        <f>'IN (mmol|L)'!O4</f>
        <v>6.2</v>
      </c>
      <c r="M67" s="1150">
        <f>'IN (mmol|L)'!P4</f>
        <v>6</v>
      </c>
      <c r="N67" s="1150">
        <f>'IN (mmol|L)'!Q4</f>
        <v>6.2</v>
      </c>
      <c r="O67" s="1152">
        <f>'IN (mmol|L)'!E27</f>
        <v>6.2</v>
      </c>
      <c r="P67" s="1152">
        <f>'IN (mmol|L)'!F27</f>
        <v>5.9</v>
      </c>
      <c r="Q67" s="1152">
        <f>'IN (mmol|L)'!G27</f>
        <v>0</v>
      </c>
      <c r="R67" s="1152">
        <f>'IN (mmol|L)'!H27</f>
        <v>0</v>
      </c>
      <c r="S67" s="1152">
        <f>'IN (mmol|L)'!I27</f>
        <v>0</v>
      </c>
      <c r="T67" s="1152">
        <f>'IN (mmol|L)'!J27</f>
        <v>0</v>
      </c>
      <c r="U67" s="1152">
        <f>'IN (mmol|L)'!K27</f>
        <v>0</v>
      </c>
      <c r="V67" s="1152">
        <f>'IN (mmol|L)'!L27</f>
        <v>0</v>
      </c>
      <c r="W67" s="1152">
        <f>'IN (mmol|L)'!M27</f>
        <v>0</v>
      </c>
      <c r="X67" s="1152">
        <f>'IN (mmol|L)'!N27</f>
        <v>0</v>
      </c>
      <c r="Y67" s="1152">
        <f>'IN (mmol|L)'!O27</f>
        <v>0</v>
      </c>
      <c r="Z67" s="1152">
        <f>'IN (mmol|L)'!P27</f>
        <v>0</v>
      </c>
      <c r="AA67" s="1152">
        <f>'IN (mmol|L)'!Q27</f>
        <v>0</v>
      </c>
      <c r="AB67" s="1221">
        <f>'IN (mmol|L)'!E50</f>
        <v>0</v>
      </c>
      <c r="AC67" s="1221">
        <f>'IN (mmol|L)'!F50</f>
        <v>0</v>
      </c>
      <c r="AD67" s="1221">
        <f>'IN (mmol|L)'!G50</f>
        <v>0</v>
      </c>
      <c r="AE67" s="1221">
        <f>'IN (mmol|L)'!H50</f>
        <v>0</v>
      </c>
      <c r="AF67" s="1221">
        <f>'IN (mmol|L)'!I50</f>
        <v>0</v>
      </c>
      <c r="AG67" s="1221">
        <f>'IN (mmol|L)'!J50</f>
        <v>0</v>
      </c>
      <c r="AH67" s="1221">
        <f>'IN (mmol|L)'!K50</f>
        <v>0</v>
      </c>
      <c r="AI67" s="1221">
        <f>'IN (mmol|L)'!L50</f>
        <v>0</v>
      </c>
      <c r="AJ67" s="1221">
        <f>'IN (mmol|L)'!M50</f>
        <v>0</v>
      </c>
      <c r="AK67" s="1221">
        <f>'IN (mmol|L)'!N50</f>
        <v>0</v>
      </c>
      <c r="AL67" s="1221">
        <f>'IN (mmol|L)'!O50</f>
        <v>0</v>
      </c>
      <c r="AM67" s="1221">
        <f>'IN (mmol|L)'!P50</f>
        <v>0</v>
      </c>
      <c r="AN67" s="1221">
        <f>'IN (mmol|L)'!Q50</f>
        <v>0</v>
      </c>
      <c r="AO67" s="1158">
        <f>'IN (mmol|L)'!E73</f>
        <v>0</v>
      </c>
      <c r="AP67" s="1158">
        <f>'IN (mmol|L)'!F73</f>
        <v>0</v>
      </c>
      <c r="AQ67" s="1158">
        <f>'IN (mmol|L)'!G73</f>
        <v>0</v>
      </c>
      <c r="AR67" s="1158">
        <f>'IN (mmol|L)'!H73</f>
        <v>0</v>
      </c>
      <c r="AS67" s="1158">
        <f>'IN (mmol|L)'!I73</f>
        <v>0</v>
      </c>
      <c r="AT67" s="1158">
        <f>'IN (mmol|L)'!J73</f>
        <v>0</v>
      </c>
      <c r="AU67" s="1158">
        <f>'IN (mmol|L)'!K73</f>
        <v>0</v>
      </c>
      <c r="AV67" s="1158">
        <f>'IN (mmol|L)'!L73</f>
        <v>0</v>
      </c>
      <c r="AW67" s="1158">
        <f>'IN (mmol|L)'!M73</f>
        <v>0</v>
      </c>
      <c r="AX67" s="1158">
        <f>'IN (mmol|L)'!N73</f>
        <v>0</v>
      </c>
      <c r="AY67" s="1158">
        <f>'IN (mmol|L)'!O73</f>
        <v>0</v>
      </c>
      <c r="AZ67" s="1158">
        <f>'IN (mmol|L)'!P73</f>
        <v>0</v>
      </c>
      <c r="BA67" s="1222">
        <f>'IN (mmol|L)'!Q73</f>
        <v>0</v>
      </c>
      <c r="BE67" s="3">
        <f t="shared" ref="BE67:BE75" si="46">A4</f>
        <v>0.29166666666666669</v>
      </c>
      <c r="BF67" s="1193">
        <f>IF('IN (mmol|L)'!E97="",0,'IN (mmol|L)'!E97)</f>
        <v>6.2777777777777777</v>
      </c>
      <c r="BG67" s="1193">
        <f>IF('IN (mmol|L)'!F97="",0,'IN (mmol|L)'!F97)</f>
        <v>6.2222222222222223</v>
      </c>
      <c r="BH67" s="1193">
        <f>IF('IN (mmol|L)'!G97="",0,'IN (mmol|L)'!G97)</f>
        <v>6.2</v>
      </c>
      <c r="BI67" s="1193">
        <f>IF('IN (mmol|L)'!H97="",0,'IN (mmol|L)'!H97)</f>
        <v>6.1</v>
      </c>
      <c r="BJ67" s="1193">
        <f>IF('IN (mmol|L)'!I97="",0,'IN (mmol|L)'!I97)</f>
        <v>6</v>
      </c>
      <c r="BK67" s="1193">
        <f>IF('IN (mmol|L)'!J97="",0,'IN (mmol|L)'!J97)</f>
        <v>6.2</v>
      </c>
      <c r="BL67" s="1193">
        <f>IF('IN (mmol|L)'!K97="",0,'IN (mmol|L)'!K97)</f>
        <v>6</v>
      </c>
      <c r="BM67" s="1193">
        <f>IF('IN (mmol|L)'!L97="",0,'IN (mmol|L)'!L97)</f>
        <v>6.2</v>
      </c>
      <c r="BN67" s="1193">
        <f>IF('IN (mmol|L)'!M97="",0,'IN (mmol|L)'!M97)</f>
        <v>6.2</v>
      </c>
      <c r="BO67" s="1193">
        <f>IF('IN (mmol|L)'!N97="",0,'IN (mmol|L)'!N97)</f>
        <v>5.9</v>
      </c>
      <c r="BP67" s="1193">
        <f>IF('IN (mmol|L)'!O97="",0,'IN (mmol|L)'!O97)</f>
        <v>0</v>
      </c>
      <c r="BQ67" s="1193">
        <f>IF('IN (mmol|L)'!P97="",0,'IN (mmol|L)'!P97)</f>
        <v>0</v>
      </c>
      <c r="BR67" s="1228">
        <f>IF('IN (mmol|L)'!Q97="",0,'IN (mmol|L)'!Q97)</f>
        <v>0</v>
      </c>
    </row>
    <row r="68" spans="1:71">
      <c r="A68" s="3">
        <f t="shared" si="45"/>
        <v>0.39583333333333331</v>
      </c>
      <c r="B68" s="1150">
        <f>'IN (mmol|L)'!E5</f>
        <v>8.2222222222222214</v>
      </c>
      <c r="C68" s="1150">
        <f>'IN (mmol|L)'!F5</f>
        <v>9.0555555555555554</v>
      </c>
      <c r="D68" s="1150">
        <f>'IN (mmol|L)'!G5</f>
        <v>10.388888888888889</v>
      </c>
      <c r="E68" s="1150">
        <f>'IN (mmol|L)'!H5</f>
        <v>10.333333333333334</v>
      </c>
      <c r="F68" s="1150">
        <f>'IN (mmol|L)'!I5</f>
        <v>10.555555555555555</v>
      </c>
      <c r="G68" s="1150">
        <f>'IN (mmol|L)'!J5</f>
        <v>12.111111111111111</v>
      </c>
      <c r="H68" s="1150">
        <f>'IN (mmol|L)'!K5</f>
        <v>9.8888888888888893</v>
      </c>
      <c r="I68" s="1150">
        <f>'IN (mmol|L)'!L5</f>
        <v>8.1999999999999993</v>
      </c>
      <c r="J68" s="1150">
        <f>'IN (mmol|L)'!M5</f>
        <v>9.1</v>
      </c>
      <c r="K68" s="1150">
        <f>'IN (mmol|L)'!N5</f>
        <v>0</v>
      </c>
      <c r="L68" s="1150">
        <f>'IN (mmol|L)'!O5</f>
        <v>10.3</v>
      </c>
      <c r="M68" s="1150">
        <f>'IN (mmol|L)'!P5</f>
        <v>10.5</v>
      </c>
      <c r="N68" s="1150">
        <f>'IN (mmol|L)'!Q5</f>
        <v>9.6</v>
      </c>
      <c r="O68" s="1152">
        <f>'IN (mmol|L)'!E28</f>
        <v>0</v>
      </c>
      <c r="P68" s="1152">
        <f>'IN (mmol|L)'!F28</f>
        <v>9.4</v>
      </c>
      <c r="Q68" s="1152">
        <f>'IN (mmol|L)'!G28</f>
        <v>0</v>
      </c>
      <c r="R68" s="1152">
        <f>'IN (mmol|L)'!H28</f>
        <v>0</v>
      </c>
      <c r="S68" s="1152">
        <f>'IN (mmol|L)'!I28</f>
        <v>0</v>
      </c>
      <c r="T68" s="1152">
        <f>'IN (mmol|L)'!J28</f>
        <v>0</v>
      </c>
      <c r="U68" s="1152">
        <f>'IN (mmol|L)'!K28</f>
        <v>0</v>
      </c>
      <c r="V68" s="1152">
        <f>'IN (mmol|L)'!L28</f>
        <v>0</v>
      </c>
      <c r="W68" s="1152">
        <f>'IN (mmol|L)'!M28</f>
        <v>0</v>
      </c>
      <c r="X68" s="1152">
        <f>'IN (mmol|L)'!N28</f>
        <v>0</v>
      </c>
      <c r="Y68" s="1152">
        <f>'IN (mmol|L)'!O28</f>
        <v>0</v>
      </c>
      <c r="Z68" s="1152">
        <f>'IN (mmol|L)'!P28</f>
        <v>0</v>
      </c>
      <c r="AA68" s="1152">
        <f>'IN (mmol|L)'!Q28</f>
        <v>0</v>
      </c>
      <c r="AB68" s="1221">
        <f>'IN (mmol|L)'!E51</f>
        <v>0</v>
      </c>
      <c r="AC68" s="1221">
        <f>'IN (mmol|L)'!F51</f>
        <v>0</v>
      </c>
      <c r="AD68" s="1221">
        <f>'IN (mmol|L)'!G51</f>
        <v>0</v>
      </c>
      <c r="AE68" s="1221">
        <f>'IN (mmol|L)'!H51</f>
        <v>0</v>
      </c>
      <c r="AF68" s="1221">
        <f>'IN (mmol|L)'!I51</f>
        <v>0</v>
      </c>
      <c r="AG68" s="1221">
        <f>'IN (mmol|L)'!J51</f>
        <v>0</v>
      </c>
      <c r="AH68" s="1221">
        <f>'IN (mmol|L)'!K51</f>
        <v>0</v>
      </c>
      <c r="AI68" s="1221">
        <f>'IN (mmol|L)'!L51</f>
        <v>0</v>
      </c>
      <c r="AJ68" s="1221">
        <f>'IN (mmol|L)'!M51</f>
        <v>0</v>
      </c>
      <c r="AK68" s="1221">
        <f>'IN (mmol|L)'!N51</f>
        <v>0</v>
      </c>
      <c r="AL68" s="1221">
        <f>'IN (mmol|L)'!O51</f>
        <v>0</v>
      </c>
      <c r="AM68" s="1221">
        <f>'IN (mmol|L)'!P51</f>
        <v>0</v>
      </c>
      <c r="AN68" s="1221">
        <f>'IN (mmol|L)'!Q51</f>
        <v>0</v>
      </c>
      <c r="AO68" s="1158">
        <f>'IN (mmol|L)'!E74</f>
        <v>0</v>
      </c>
      <c r="AP68" s="1158">
        <f>'IN (mmol|L)'!F74</f>
        <v>0</v>
      </c>
      <c r="AQ68" s="1158">
        <f>'IN (mmol|L)'!G74</f>
        <v>0</v>
      </c>
      <c r="AR68" s="1158">
        <f>'IN (mmol|L)'!H74</f>
        <v>0</v>
      </c>
      <c r="AS68" s="1158">
        <f>'IN (mmol|L)'!I74</f>
        <v>0</v>
      </c>
      <c r="AT68" s="1158">
        <f>'IN (mmol|L)'!J74</f>
        <v>0</v>
      </c>
      <c r="AU68" s="1158">
        <f>'IN (mmol|L)'!K74</f>
        <v>0</v>
      </c>
      <c r="AV68" s="1158">
        <f>'IN (mmol|L)'!L74</f>
        <v>0</v>
      </c>
      <c r="AW68" s="1158">
        <f>'IN (mmol|L)'!M74</f>
        <v>0</v>
      </c>
      <c r="AX68" s="1158">
        <f>'IN (mmol|L)'!N74</f>
        <v>0</v>
      </c>
      <c r="AY68" s="1158">
        <f>'IN (mmol|L)'!O74</f>
        <v>0</v>
      </c>
      <c r="AZ68" s="1158">
        <f>'IN (mmol|L)'!P74</f>
        <v>0</v>
      </c>
      <c r="BA68" s="1222">
        <f>'IN (mmol|L)'!Q74</f>
        <v>0</v>
      </c>
      <c r="BE68" s="3">
        <f t="shared" si="46"/>
        <v>0.39583333333333331</v>
      </c>
      <c r="BF68" s="1193">
        <f>IF('IN (mmol|L)'!E98="",0,'IN (mmol|L)'!E98)</f>
        <v>12.111111111111111</v>
      </c>
      <c r="BG68" s="1193">
        <f>IF('IN (mmol|L)'!F98="",0,'IN (mmol|L)'!F98)</f>
        <v>9.8888888888888893</v>
      </c>
      <c r="BH68" s="1193">
        <f>IF('IN (mmol|L)'!G98="",0,'IN (mmol|L)'!G98)</f>
        <v>8.1999999999999993</v>
      </c>
      <c r="BI68" s="1193">
        <f>IF('IN (mmol|L)'!H98="",0,'IN (mmol|L)'!H98)</f>
        <v>9.1</v>
      </c>
      <c r="BJ68" s="1193">
        <f>IF('IN (mmol|L)'!I98="",0,'IN (mmol|L)'!I98)</f>
        <v>0</v>
      </c>
      <c r="BK68" s="1193">
        <f>IF('IN (mmol|L)'!J98="",0,'IN (mmol|L)'!J98)</f>
        <v>10.3</v>
      </c>
      <c r="BL68" s="1193">
        <f>IF('IN (mmol|L)'!K98="",0,'IN (mmol|L)'!K98)</f>
        <v>10.5</v>
      </c>
      <c r="BM68" s="1193">
        <f>IF('IN (mmol|L)'!L98="",0,'IN (mmol|L)'!L98)</f>
        <v>9.6</v>
      </c>
      <c r="BN68" s="1193">
        <f>IF('IN (mmol|L)'!M98="",0,'IN (mmol|L)'!M98)</f>
        <v>0</v>
      </c>
      <c r="BO68" s="1193">
        <f>IF('IN (mmol|L)'!N98="",0,'IN (mmol|L)'!N98)</f>
        <v>9.4</v>
      </c>
      <c r="BP68" s="1193">
        <f>IF('IN (mmol|L)'!O98="",0,'IN (mmol|L)'!O98)</f>
        <v>0</v>
      </c>
      <c r="BQ68" s="1193">
        <f>IF('IN (mmol|L)'!P98="",0,'IN (mmol|L)'!P98)</f>
        <v>0</v>
      </c>
      <c r="BR68" s="1228">
        <f>IF('IN (mmol|L)'!Q98="",0,'IN (mmol|L)'!Q98)</f>
        <v>0</v>
      </c>
    </row>
    <row r="69" spans="1:71">
      <c r="A69" s="3">
        <f t="shared" si="45"/>
        <v>0.5</v>
      </c>
      <c r="B69" s="1150">
        <f>'IN (mmol|L)'!E6</f>
        <v>4.7777777777777777</v>
      </c>
      <c r="C69" s="1150">
        <f>'IN (mmol|L)'!F6</f>
        <v>6.7777777777777777</v>
      </c>
      <c r="D69" s="1150">
        <f>'IN (mmol|L)'!G6</f>
        <v>6.7777777777777777</v>
      </c>
      <c r="E69" s="1150">
        <f>'IN (mmol|L)'!H6</f>
        <v>8.7777777777777786</v>
      </c>
      <c r="F69" s="1150">
        <f>'IN (mmol|L)'!I6</f>
        <v>8.7222222222222214</v>
      </c>
      <c r="G69" s="1150">
        <f>'IN (mmol|L)'!J6</f>
        <v>8.0555555555555554</v>
      </c>
      <c r="H69" s="1150">
        <f>'IN (mmol|L)'!K6</f>
        <v>6.7777777777777777</v>
      </c>
      <c r="I69" s="1150">
        <f>'IN (mmol|L)'!L6</f>
        <v>4.8</v>
      </c>
      <c r="J69" s="1150">
        <f>'IN (mmol|L)'!M6</f>
        <v>6.8</v>
      </c>
      <c r="K69" s="1150">
        <f>'IN (mmol|L)'!N6</f>
        <v>10.3</v>
      </c>
      <c r="L69" s="1150">
        <f>'IN (mmol|L)'!O6</f>
        <v>8.1999999999999993</v>
      </c>
      <c r="M69" s="1150">
        <f>'IN (mmol|L)'!P6</f>
        <v>8.6999999999999993</v>
      </c>
      <c r="N69" s="1150">
        <f>'IN (mmol|L)'!Q6</f>
        <v>6</v>
      </c>
      <c r="O69" s="1152">
        <f>'IN (mmol|L)'!E29</f>
        <v>0</v>
      </c>
      <c r="P69" s="1152">
        <f>'IN (mmol|L)'!F29</f>
        <v>7.4</v>
      </c>
      <c r="Q69" s="1152">
        <f>'IN (mmol|L)'!G29</f>
        <v>0</v>
      </c>
      <c r="R69" s="1152">
        <f>'IN (mmol|L)'!H29</f>
        <v>0</v>
      </c>
      <c r="S69" s="1152">
        <f>'IN (mmol|L)'!I29</f>
        <v>0</v>
      </c>
      <c r="T69" s="1152">
        <f>'IN (mmol|L)'!J29</f>
        <v>0</v>
      </c>
      <c r="U69" s="1152">
        <f>'IN (mmol|L)'!K29</f>
        <v>0</v>
      </c>
      <c r="V69" s="1152">
        <f>'IN (mmol|L)'!L29</f>
        <v>0</v>
      </c>
      <c r="W69" s="1152">
        <f>'IN (mmol|L)'!M29</f>
        <v>0</v>
      </c>
      <c r="X69" s="1152">
        <f>'IN (mmol|L)'!N29</f>
        <v>0</v>
      </c>
      <c r="Y69" s="1152">
        <f>'IN (mmol|L)'!O29</f>
        <v>0</v>
      </c>
      <c r="Z69" s="1152">
        <f>'IN (mmol|L)'!P29</f>
        <v>0</v>
      </c>
      <c r="AA69" s="1152">
        <f>'IN (mmol|L)'!Q29</f>
        <v>0</v>
      </c>
      <c r="AB69" s="1221">
        <f>'IN (mmol|L)'!E52</f>
        <v>0</v>
      </c>
      <c r="AC69" s="1221">
        <f>'IN (mmol|L)'!F52</f>
        <v>0</v>
      </c>
      <c r="AD69" s="1221">
        <f>'IN (mmol|L)'!G52</f>
        <v>0</v>
      </c>
      <c r="AE69" s="1221">
        <f>'IN (mmol|L)'!H52</f>
        <v>0</v>
      </c>
      <c r="AF69" s="1221">
        <f>'IN (mmol|L)'!I52</f>
        <v>0</v>
      </c>
      <c r="AG69" s="1221">
        <f>'IN (mmol|L)'!J52</f>
        <v>0</v>
      </c>
      <c r="AH69" s="1221">
        <f>'IN (mmol|L)'!K52</f>
        <v>0</v>
      </c>
      <c r="AI69" s="1221">
        <f>'IN (mmol|L)'!L52</f>
        <v>0</v>
      </c>
      <c r="AJ69" s="1221">
        <f>'IN (mmol|L)'!M52</f>
        <v>0</v>
      </c>
      <c r="AK69" s="1221">
        <f>'IN (mmol|L)'!N52</f>
        <v>0</v>
      </c>
      <c r="AL69" s="1221">
        <f>'IN (mmol|L)'!O52</f>
        <v>0</v>
      </c>
      <c r="AM69" s="1221">
        <f>'IN (mmol|L)'!P52</f>
        <v>0</v>
      </c>
      <c r="AN69" s="1221">
        <f>'IN (mmol|L)'!Q52</f>
        <v>0</v>
      </c>
      <c r="AO69" s="1158">
        <f>'IN (mmol|L)'!E75</f>
        <v>0</v>
      </c>
      <c r="AP69" s="1158">
        <f>'IN (mmol|L)'!F75</f>
        <v>0</v>
      </c>
      <c r="AQ69" s="1158">
        <f>'IN (mmol|L)'!G75</f>
        <v>0</v>
      </c>
      <c r="AR69" s="1158">
        <f>'IN (mmol|L)'!H75</f>
        <v>0</v>
      </c>
      <c r="AS69" s="1158">
        <f>'IN (mmol|L)'!I75</f>
        <v>0</v>
      </c>
      <c r="AT69" s="1158">
        <f>'IN (mmol|L)'!J75</f>
        <v>0</v>
      </c>
      <c r="AU69" s="1158">
        <f>'IN (mmol|L)'!K75</f>
        <v>0</v>
      </c>
      <c r="AV69" s="1158">
        <f>'IN (mmol|L)'!L75</f>
        <v>0</v>
      </c>
      <c r="AW69" s="1158">
        <f>'IN (mmol|L)'!M75</f>
        <v>0</v>
      </c>
      <c r="AX69" s="1158">
        <f>'IN (mmol|L)'!N75</f>
        <v>0</v>
      </c>
      <c r="AY69" s="1158">
        <f>'IN (mmol|L)'!O75</f>
        <v>0</v>
      </c>
      <c r="AZ69" s="1158">
        <f>'IN (mmol|L)'!P75</f>
        <v>0</v>
      </c>
      <c r="BA69" s="1222">
        <f>'IN (mmol|L)'!Q75</f>
        <v>0</v>
      </c>
      <c r="BE69" s="3">
        <f t="shared" si="46"/>
        <v>0.5</v>
      </c>
      <c r="BF69" s="1193">
        <f>IF('IN (mmol|L)'!E99="",0,'IN (mmol|L)'!E99)</f>
        <v>8.0555555555555554</v>
      </c>
      <c r="BG69" s="1193">
        <f>IF('IN (mmol|L)'!F99="",0,'IN (mmol|L)'!F99)</f>
        <v>6.7777777777777777</v>
      </c>
      <c r="BH69" s="1193">
        <f>IF('IN (mmol|L)'!G99="",0,'IN (mmol|L)'!G99)</f>
        <v>4.8</v>
      </c>
      <c r="BI69" s="1193">
        <f>IF('IN (mmol|L)'!H99="",0,'IN (mmol|L)'!H99)</f>
        <v>6.8</v>
      </c>
      <c r="BJ69" s="1193">
        <f>IF('IN (mmol|L)'!I99="",0,'IN (mmol|L)'!I99)</f>
        <v>10.3</v>
      </c>
      <c r="BK69" s="1193">
        <f>IF('IN (mmol|L)'!J99="",0,'IN (mmol|L)'!J99)</f>
        <v>8.1999999999999993</v>
      </c>
      <c r="BL69" s="1193">
        <f>IF('IN (mmol|L)'!K99="",0,'IN (mmol|L)'!K99)</f>
        <v>8.6999999999999993</v>
      </c>
      <c r="BM69" s="1193">
        <f>IF('IN (mmol|L)'!L99="",0,'IN (mmol|L)'!L99)</f>
        <v>6</v>
      </c>
      <c r="BN69" s="1193">
        <f>IF('IN (mmol|L)'!M99="",0,'IN (mmol|L)'!M99)</f>
        <v>0</v>
      </c>
      <c r="BO69" s="1193">
        <f>IF('IN (mmol|L)'!N99="",0,'IN (mmol|L)'!N99)</f>
        <v>7.4</v>
      </c>
      <c r="BP69" s="1193">
        <f>IF('IN (mmol|L)'!O99="",0,'IN (mmol|L)'!O99)</f>
        <v>0</v>
      </c>
      <c r="BQ69" s="1193">
        <f>IF('IN (mmol|L)'!P99="",0,'IN (mmol|L)'!P99)</f>
        <v>0</v>
      </c>
      <c r="BR69" s="1228">
        <f>IF('IN (mmol|L)'!Q99="",0,'IN (mmol|L)'!Q99)</f>
        <v>0</v>
      </c>
    </row>
    <row r="70" spans="1:71">
      <c r="A70" s="3">
        <f t="shared" si="45"/>
        <v>0.60416666666666663</v>
      </c>
      <c r="B70" s="1150">
        <f>'IN (mmol|L)'!E7</f>
        <v>10.611111111111111</v>
      </c>
      <c r="C70" s="1150">
        <f>'IN (mmol|L)'!F7</f>
        <v>6.2222222222222223</v>
      </c>
      <c r="D70" s="1150">
        <f>'IN (mmol|L)'!G7</f>
        <v>6.3888888888888893</v>
      </c>
      <c r="E70" s="1150">
        <f>'IN (mmol|L)'!H7</f>
        <v>5.3888888888888893</v>
      </c>
      <c r="F70" s="1150">
        <f>'IN (mmol|L)'!I7</f>
        <v>0</v>
      </c>
      <c r="G70" s="1150">
        <f>'IN (mmol|L)'!J7</f>
        <v>7.0555555555555554</v>
      </c>
      <c r="H70" s="1150">
        <f>'IN (mmol|L)'!K7</f>
        <v>8.7222222222222214</v>
      </c>
      <c r="I70" s="1150">
        <f>'IN (mmol|L)'!L7</f>
        <v>10.6</v>
      </c>
      <c r="J70" s="1150">
        <f>'IN (mmol|L)'!M7</f>
        <v>6.2</v>
      </c>
      <c r="K70" s="1150">
        <f>'IN (mmol|L)'!N7</f>
        <v>6.8</v>
      </c>
      <c r="L70" s="1150">
        <f>'IN (mmol|L)'!O7</f>
        <v>5.4</v>
      </c>
      <c r="M70" s="1150">
        <f>'IN (mmol|L)'!P7</f>
        <v>0</v>
      </c>
      <c r="N70" s="1150">
        <f>'IN (mmol|L)'!Q7</f>
        <v>4.5</v>
      </c>
      <c r="O70" s="1152">
        <f>'IN (mmol|L)'!E30</f>
        <v>0</v>
      </c>
      <c r="P70" s="1152">
        <f>'IN (mmol|L)'!F30</f>
        <v>6</v>
      </c>
      <c r="Q70" s="1152">
        <f>'IN (mmol|L)'!G30</f>
        <v>0</v>
      </c>
      <c r="R70" s="1152">
        <f>'IN (mmol|L)'!H30</f>
        <v>0</v>
      </c>
      <c r="S70" s="1152">
        <f>'IN (mmol|L)'!I30</f>
        <v>0</v>
      </c>
      <c r="T70" s="1152">
        <f>'IN (mmol|L)'!J30</f>
        <v>0</v>
      </c>
      <c r="U70" s="1152">
        <f>'IN (mmol|L)'!K30</f>
        <v>0</v>
      </c>
      <c r="V70" s="1152">
        <f>'IN (mmol|L)'!L30</f>
        <v>0</v>
      </c>
      <c r="W70" s="1152">
        <f>'IN (mmol|L)'!M30</f>
        <v>0</v>
      </c>
      <c r="X70" s="1152">
        <f>'IN (mmol|L)'!N30</f>
        <v>0</v>
      </c>
      <c r="Y70" s="1152">
        <f>'IN (mmol|L)'!O30</f>
        <v>0</v>
      </c>
      <c r="Z70" s="1152">
        <f>'IN (mmol|L)'!P30</f>
        <v>0</v>
      </c>
      <c r="AA70" s="1152">
        <f>'IN (mmol|L)'!Q30</f>
        <v>0</v>
      </c>
      <c r="AB70" s="1221">
        <f>'IN (mmol|L)'!E53</f>
        <v>0</v>
      </c>
      <c r="AC70" s="1221">
        <f>'IN (mmol|L)'!F53</f>
        <v>0</v>
      </c>
      <c r="AD70" s="1221">
        <f>'IN (mmol|L)'!G53</f>
        <v>0</v>
      </c>
      <c r="AE70" s="1221">
        <f>'IN (mmol|L)'!H53</f>
        <v>0</v>
      </c>
      <c r="AF70" s="1221">
        <f>'IN (mmol|L)'!I53</f>
        <v>0</v>
      </c>
      <c r="AG70" s="1221">
        <f>'IN (mmol|L)'!J53</f>
        <v>0</v>
      </c>
      <c r="AH70" s="1221">
        <f>'IN (mmol|L)'!K53</f>
        <v>0</v>
      </c>
      <c r="AI70" s="1221">
        <f>'IN (mmol|L)'!L53</f>
        <v>0</v>
      </c>
      <c r="AJ70" s="1221">
        <f>'IN (mmol|L)'!M53</f>
        <v>0</v>
      </c>
      <c r="AK70" s="1221">
        <f>'IN (mmol|L)'!N53</f>
        <v>0</v>
      </c>
      <c r="AL70" s="1221">
        <f>'IN (mmol|L)'!O53</f>
        <v>0</v>
      </c>
      <c r="AM70" s="1221">
        <f>'IN (mmol|L)'!P53</f>
        <v>0</v>
      </c>
      <c r="AN70" s="1221">
        <f>'IN (mmol|L)'!Q53</f>
        <v>0</v>
      </c>
      <c r="AO70" s="1158">
        <f>'IN (mmol|L)'!E76</f>
        <v>0</v>
      </c>
      <c r="AP70" s="1158">
        <f>'IN (mmol|L)'!F76</f>
        <v>0</v>
      </c>
      <c r="AQ70" s="1158">
        <f>'IN (mmol|L)'!G76</f>
        <v>0</v>
      </c>
      <c r="AR70" s="1158">
        <f>'IN (mmol|L)'!H76</f>
        <v>0</v>
      </c>
      <c r="AS70" s="1158">
        <f>'IN (mmol|L)'!I76</f>
        <v>0</v>
      </c>
      <c r="AT70" s="1158">
        <f>'IN (mmol|L)'!J76</f>
        <v>0</v>
      </c>
      <c r="AU70" s="1158">
        <f>'IN (mmol|L)'!K76</f>
        <v>0</v>
      </c>
      <c r="AV70" s="1158">
        <f>'IN (mmol|L)'!L76</f>
        <v>0</v>
      </c>
      <c r="AW70" s="1158">
        <f>'IN (mmol|L)'!M76</f>
        <v>0</v>
      </c>
      <c r="AX70" s="1158">
        <f>'IN (mmol|L)'!N76</f>
        <v>0</v>
      </c>
      <c r="AY70" s="1158">
        <f>'IN (mmol|L)'!O76</f>
        <v>0</v>
      </c>
      <c r="AZ70" s="1158">
        <f>'IN (mmol|L)'!P76</f>
        <v>0</v>
      </c>
      <c r="BA70" s="1222">
        <f>'IN (mmol|L)'!Q76</f>
        <v>0</v>
      </c>
      <c r="BE70" s="3">
        <f t="shared" si="46"/>
        <v>0.60416666666666663</v>
      </c>
      <c r="BF70" s="1193">
        <f>IF('IN (mmol|L)'!E100="",0,'IN (mmol|L)'!E100)</f>
        <v>7.0555555555555554</v>
      </c>
      <c r="BG70" s="1193">
        <f>IF('IN (mmol|L)'!F100="",0,'IN (mmol|L)'!F100)</f>
        <v>8.7222222222222214</v>
      </c>
      <c r="BH70" s="1193">
        <f>IF('IN (mmol|L)'!G100="",0,'IN (mmol|L)'!G100)</f>
        <v>10.6</v>
      </c>
      <c r="BI70" s="1193">
        <f>IF('IN (mmol|L)'!H100="",0,'IN (mmol|L)'!H100)</f>
        <v>6.2</v>
      </c>
      <c r="BJ70" s="1193">
        <f>IF('IN (mmol|L)'!I100="",0,'IN (mmol|L)'!I100)</f>
        <v>6.8</v>
      </c>
      <c r="BK70" s="1193">
        <f>IF('IN (mmol|L)'!J100="",0,'IN (mmol|L)'!J100)</f>
        <v>5.4</v>
      </c>
      <c r="BL70" s="1193">
        <f>IF('IN (mmol|L)'!K100="",0,'IN (mmol|L)'!K100)</f>
        <v>0</v>
      </c>
      <c r="BM70" s="1193">
        <f>IF('IN (mmol|L)'!L100="",0,'IN (mmol|L)'!L100)</f>
        <v>4.5</v>
      </c>
      <c r="BN70" s="1193">
        <f>IF('IN (mmol|L)'!M100="",0,'IN (mmol|L)'!M100)</f>
        <v>0</v>
      </c>
      <c r="BO70" s="1193">
        <f>IF('IN (mmol|L)'!N100="",0,'IN (mmol|L)'!N100)</f>
        <v>6</v>
      </c>
      <c r="BP70" s="1193">
        <f>IF('IN (mmol|L)'!O100="",0,'IN (mmol|L)'!O100)</f>
        <v>0</v>
      </c>
      <c r="BQ70" s="1193">
        <f>IF('IN (mmol|L)'!P100="",0,'IN (mmol|L)'!P100)</f>
        <v>0</v>
      </c>
      <c r="BR70" s="1228">
        <f>IF('IN (mmol|L)'!Q100="",0,'IN (mmol|L)'!Q100)</f>
        <v>0</v>
      </c>
    </row>
    <row r="71" spans="1:71">
      <c r="A71" s="3">
        <f t="shared" si="45"/>
        <v>0.72916666666666663</v>
      </c>
      <c r="B71" s="1150">
        <f>'IN (mmol|L)'!E8</f>
        <v>6.9444444444444446</v>
      </c>
      <c r="C71" s="1150">
        <f>'IN (mmol|L)'!F8</f>
        <v>8.2777777777777786</v>
      </c>
      <c r="D71" s="1150">
        <f>'IN (mmol|L)'!G8</f>
        <v>7.0555555555555554</v>
      </c>
      <c r="E71" s="1150">
        <f>'IN (mmol|L)'!H8</f>
        <v>5</v>
      </c>
      <c r="F71" s="1150">
        <f>'IN (mmol|L)'!I8</f>
        <v>9.1666666666666661</v>
      </c>
      <c r="G71" s="1150">
        <f>'IN (mmol|L)'!J8</f>
        <v>6</v>
      </c>
      <c r="H71" s="1150">
        <f>'IN (mmol|L)'!K8</f>
        <v>9.1666666666666661</v>
      </c>
      <c r="I71" s="1150">
        <f>'IN (mmol|L)'!L8</f>
        <v>6.9</v>
      </c>
      <c r="J71" s="1150">
        <f>'IN (mmol|L)'!M8</f>
        <v>8.1999999999999993</v>
      </c>
      <c r="K71" s="1150">
        <f>'IN (mmol|L)'!N8</f>
        <v>6.4</v>
      </c>
      <c r="L71" s="1150">
        <f>'IN (mmol|L)'!O8</f>
        <v>5</v>
      </c>
      <c r="M71" s="1150">
        <f>'IN (mmol|L)'!P8</f>
        <v>9.1999999999999993</v>
      </c>
      <c r="N71" s="1150">
        <f>'IN (mmol|L)'!Q8</f>
        <v>4.9000000000000004</v>
      </c>
      <c r="O71" s="1152">
        <f>'IN (mmol|L)'!E31</f>
        <v>6.8</v>
      </c>
      <c r="P71" s="1152">
        <f>'IN (mmol|L)'!F31</f>
        <v>8.1999999999999993</v>
      </c>
      <c r="Q71" s="1152">
        <f>'IN (mmol|L)'!G31</f>
        <v>0</v>
      </c>
      <c r="R71" s="1152">
        <f>'IN (mmol|L)'!H31</f>
        <v>0</v>
      </c>
      <c r="S71" s="1152">
        <f>'IN (mmol|L)'!I31</f>
        <v>0</v>
      </c>
      <c r="T71" s="1152">
        <f>'IN (mmol|L)'!J31</f>
        <v>0</v>
      </c>
      <c r="U71" s="1152">
        <f>'IN (mmol|L)'!K31</f>
        <v>0</v>
      </c>
      <c r="V71" s="1152">
        <f>'IN (mmol|L)'!L31</f>
        <v>0</v>
      </c>
      <c r="W71" s="1152">
        <f>'IN (mmol|L)'!M31</f>
        <v>0</v>
      </c>
      <c r="X71" s="1152">
        <f>'IN (mmol|L)'!N31</f>
        <v>0</v>
      </c>
      <c r="Y71" s="1152">
        <f>'IN (mmol|L)'!O31</f>
        <v>0</v>
      </c>
      <c r="Z71" s="1152">
        <f>'IN (mmol|L)'!P31</f>
        <v>0</v>
      </c>
      <c r="AA71" s="1152">
        <f>'IN (mmol|L)'!Q31</f>
        <v>0</v>
      </c>
      <c r="AB71" s="1221">
        <f>'IN (mmol|L)'!E54</f>
        <v>0</v>
      </c>
      <c r="AC71" s="1221">
        <f>'IN (mmol|L)'!F54</f>
        <v>0</v>
      </c>
      <c r="AD71" s="1221">
        <f>'IN (mmol|L)'!G54</f>
        <v>0</v>
      </c>
      <c r="AE71" s="1221">
        <f>'IN (mmol|L)'!H54</f>
        <v>0</v>
      </c>
      <c r="AF71" s="1221">
        <f>'IN (mmol|L)'!I54</f>
        <v>0</v>
      </c>
      <c r="AG71" s="1221">
        <f>'IN (mmol|L)'!J54</f>
        <v>0</v>
      </c>
      <c r="AH71" s="1221">
        <f>'IN (mmol|L)'!K54</f>
        <v>0</v>
      </c>
      <c r="AI71" s="1221">
        <f>'IN (mmol|L)'!L54</f>
        <v>0</v>
      </c>
      <c r="AJ71" s="1221">
        <f>'IN (mmol|L)'!M54</f>
        <v>0</v>
      </c>
      <c r="AK71" s="1221">
        <f>'IN (mmol|L)'!N54</f>
        <v>0</v>
      </c>
      <c r="AL71" s="1221">
        <f>'IN (mmol|L)'!O54</f>
        <v>0</v>
      </c>
      <c r="AM71" s="1221">
        <f>'IN (mmol|L)'!P54</f>
        <v>0</v>
      </c>
      <c r="AN71" s="1221">
        <f>'IN (mmol|L)'!Q54</f>
        <v>0</v>
      </c>
      <c r="AO71" s="1158">
        <f>'IN (mmol|L)'!E77</f>
        <v>0</v>
      </c>
      <c r="AP71" s="1158">
        <f>'IN (mmol|L)'!F77</f>
        <v>0</v>
      </c>
      <c r="AQ71" s="1158">
        <f>'IN (mmol|L)'!G77</f>
        <v>0</v>
      </c>
      <c r="AR71" s="1158">
        <f>'IN (mmol|L)'!H77</f>
        <v>0</v>
      </c>
      <c r="AS71" s="1158">
        <f>'IN (mmol|L)'!I77</f>
        <v>0</v>
      </c>
      <c r="AT71" s="1158">
        <f>'IN (mmol|L)'!J77</f>
        <v>0</v>
      </c>
      <c r="AU71" s="1158">
        <f>'IN (mmol|L)'!K77</f>
        <v>0</v>
      </c>
      <c r="AV71" s="1158">
        <f>'IN (mmol|L)'!L77</f>
        <v>0</v>
      </c>
      <c r="AW71" s="1158">
        <f>'IN (mmol|L)'!M77</f>
        <v>0</v>
      </c>
      <c r="AX71" s="1158">
        <f>'IN (mmol|L)'!N77</f>
        <v>0</v>
      </c>
      <c r="AY71" s="1158">
        <f>'IN (mmol|L)'!O77</f>
        <v>0</v>
      </c>
      <c r="AZ71" s="1158">
        <f>'IN (mmol|L)'!P77</f>
        <v>0</v>
      </c>
      <c r="BA71" s="1222">
        <f>'IN (mmol|L)'!Q77</f>
        <v>0</v>
      </c>
      <c r="BE71" s="3">
        <f t="shared" si="46"/>
        <v>0.72916666666666663</v>
      </c>
      <c r="BF71" s="1193">
        <f>IF('IN (mmol|L)'!E101="",0,'IN (mmol|L)'!E101)</f>
        <v>6</v>
      </c>
      <c r="BG71" s="1193">
        <f>IF('IN (mmol|L)'!F101="",0,'IN (mmol|L)'!F101)</f>
        <v>9.1666666666666661</v>
      </c>
      <c r="BH71" s="1193">
        <f>IF('IN (mmol|L)'!G101="",0,'IN (mmol|L)'!G101)</f>
        <v>6.9</v>
      </c>
      <c r="BI71" s="1193">
        <f>IF('IN (mmol|L)'!H101="",0,'IN (mmol|L)'!H101)</f>
        <v>8.1999999999999993</v>
      </c>
      <c r="BJ71" s="1193">
        <f>IF('IN (mmol|L)'!I101="",0,'IN (mmol|L)'!I101)</f>
        <v>6.4</v>
      </c>
      <c r="BK71" s="1193">
        <f>IF('IN (mmol|L)'!J101="",0,'IN (mmol|L)'!J101)</f>
        <v>5</v>
      </c>
      <c r="BL71" s="1193">
        <f>IF('IN (mmol|L)'!K101="",0,'IN (mmol|L)'!K101)</f>
        <v>9.1999999999999993</v>
      </c>
      <c r="BM71" s="1193">
        <f>IF('IN (mmol|L)'!L101="",0,'IN (mmol|L)'!L101)</f>
        <v>4.9000000000000004</v>
      </c>
      <c r="BN71" s="1193">
        <f>IF('IN (mmol|L)'!M101="",0,'IN (mmol|L)'!M101)</f>
        <v>6.8</v>
      </c>
      <c r="BO71" s="1193">
        <f>IF('IN (mmol|L)'!N101="",0,'IN (mmol|L)'!N101)</f>
        <v>8.1999999999999993</v>
      </c>
      <c r="BP71" s="1193">
        <f>IF('IN (mmol|L)'!O101="",0,'IN (mmol|L)'!O101)</f>
        <v>0</v>
      </c>
      <c r="BQ71" s="1193">
        <f>IF('IN (mmol|L)'!P101="",0,'IN (mmol|L)'!P101)</f>
        <v>0</v>
      </c>
      <c r="BR71" s="1228">
        <f>IF('IN (mmol|L)'!Q101="",0,'IN (mmol|L)'!Q101)</f>
        <v>0</v>
      </c>
    </row>
    <row r="72" spans="1:71">
      <c r="A72" s="3">
        <f t="shared" si="45"/>
        <v>0.83333333333333337</v>
      </c>
      <c r="B72" s="1150">
        <f>'IN (mmol|L)'!E9</f>
        <v>7.7222222222222223</v>
      </c>
      <c r="C72" s="1150">
        <f>'IN (mmol|L)'!F9</f>
        <v>10.722222222222221</v>
      </c>
      <c r="D72" s="1150">
        <f>'IN (mmol|L)'!G9</f>
        <v>0</v>
      </c>
      <c r="E72" s="1150">
        <f>'IN (mmol|L)'!H9</f>
        <v>11.944444444444445</v>
      </c>
      <c r="F72" s="1150">
        <f>'IN (mmol|L)'!I9</f>
        <v>10.666666666666666</v>
      </c>
      <c r="G72" s="1150">
        <f>'IN (mmol|L)'!J9</f>
        <v>5.9444444444444446</v>
      </c>
      <c r="H72" s="1150">
        <f>'IN (mmol|L)'!K9</f>
        <v>10.722222222222221</v>
      </c>
      <c r="I72" s="1150">
        <f>'IN (mmol|L)'!L9</f>
        <v>7.7</v>
      </c>
      <c r="J72" s="1150">
        <f>'IN (mmol|L)'!M9</f>
        <v>10.7</v>
      </c>
      <c r="K72" s="1150">
        <f>'IN (mmol|L)'!N9</f>
        <v>7</v>
      </c>
      <c r="L72" s="1150">
        <f>'IN (mmol|L)'!O9</f>
        <v>11.9</v>
      </c>
      <c r="M72" s="1150">
        <f>'IN (mmol|L)'!P9</f>
        <v>10.8</v>
      </c>
      <c r="N72" s="1150">
        <f>'IN (mmol|L)'!Q9</f>
        <v>5.2</v>
      </c>
      <c r="O72" s="1152">
        <f>'IN (mmol|L)'!E32</f>
        <v>5.2</v>
      </c>
      <c r="P72" s="1152">
        <f>'IN (mmol|L)'!F32</f>
        <v>8.6999999999999993</v>
      </c>
      <c r="Q72" s="1152">
        <f>'IN (mmol|L)'!G32</f>
        <v>0</v>
      </c>
      <c r="R72" s="1152">
        <f>'IN (mmol|L)'!H32</f>
        <v>0</v>
      </c>
      <c r="S72" s="1152">
        <f>'IN (mmol|L)'!I32</f>
        <v>0</v>
      </c>
      <c r="T72" s="1152">
        <f>'IN (mmol|L)'!J32</f>
        <v>0</v>
      </c>
      <c r="U72" s="1152">
        <f>'IN (mmol|L)'!K32</f>
        <v>0</v>
      </c>
      <c r="V72" s="1152">
        <f>'IN (mmol|L)'!L32</f>
        <v>0</v>
      </c>
      <c r="W72" s="1152">
        <f>'IN (mmol|L)'!M32</f>
        <v>0</v>
      </c>
      <c r="X72" s="1152">
        <f>'IN (mmol|L)'!N32</f>
        <v>0</v>
      </c>
      <c r="Y72" s="1152">
        <f>'IN (mmol|L)'!O32</f>
        <v>0</v>
      </c>
      <c r="Z72" s="1152">
        <f>'IN (mmol|L)'!P32</f>
        <v>0</v>
      </c>
      <c r="AA72" s="1152">
        <f>'IN (mmol|L)'!Q32</f>
        <v>0</v>
      </c>
      <c r="AB72" s="1221">
        <f>'IN (mmol|L)'!E55</f>
        <v>0</v>
      </c>
      <c r="AC72" s="1221">
        <f>'IN (mmol|L)'!F55</f>
        <v>0</v>
      </c>
      <c r="AD72" s="1221">
        <f>'IN (mmol|L)'!G55</f>
        <v>0</v>
      </c>
      <c r="AE72" s="1221">
        <f>'IN (mmol|L)'!H55</f>
        <v>0</v>
      </c>
      <c r="AF72" s="1221">
        <f>'IN (mmol|L)'!I55</f>
        <v>0</v>
      </c>
      <c r="AG72" s="1221">
        <f>'IN (mmol|L)'!J55</f>
        <v>0</v>
      </c>
      <c r="AH72" s="1221">
        <f>'IN (mmol|L)'!K55</f>
        <v>0</v>
      </c>
      <c r="AI72" s="1221">
        <f>'IN (mmol|L)'!L55</f>
        <v>0</v>
      </c>
      <c r="AJ72" s="1221">
        <f>'IN (mmol|L)'!M55</f>
        <v>0</v>
      </c>
      <c r="AK72" s="1221">
        <f>'IN (mmol|L)'!N55</f>
        <v>0</v>
      </c>
      <c r="AL72" s="1221">
        <f>'IN (mmol|L)'!O55</f>
        <v>0</v>
      </c>
      <c r="AM72" s="1221">
        <f>'IN (mmol|L)'!P55</f>
        <v>0</v>
      </c>
      <c r="AN72" s="1221">
        <f>'IN (mmol|L)'!Q55</f>
        <v>0</v>
      </c>
      <c r="AO72" s="1158">
        <f>'IN (mmol|L)'!E78</f>
        <v>0</v>
      </c>
      <c r="AP72" s="1158">
        <f>'IN (mmol|L)'!F78</f>
        <v>0</v>
      </c>
      <c r="AQ72" s="1158">
        <f>'IN (mmol|L)'!G78</f>
        <v>0</v>
      </c>
      <c r="AR72" s="1158">
        <f>'IN (mmol|L)'!H78</f>
        <v>0</v>
      </c>
      <c r="AS72" s="1158">
        <f>'IN (mmol|L)'!I78</f>
        <v>0</v>
      </c>
      <c r="AT72" s="1158">
        <f>'IN (mmol|L)'!J78</f>
        <v>0</v>
      </c>
      <c r="AU72" s="1158">
        <f>'IN (mmol|L)'!K78</f>
        <v>0</v>
      </c>
      <c r="AV72" s="1158">
        <f>'IN (mmol|L)'!L78</f>
        <v>0</v>
      </c>
      <c r="AW72" s="1158">
        <f>'IN (mmol|L)'!M78</f>
        <v>0</v>
      </c>
      <c r="AX72" s="1158">
        <f>'IN (mmol|L)'!N78</f>
        <v>0</v>
      </c>
      <c r="AY72" s="1158">
        <f>'IN (mmol|L)'!O78</f>
        <v>0</v>
      </c>
      <c r="AZ72" s="1158">
        <f>'IN (mmol|L)'!P78</f>
        <v>0</v>
      </c>
      <c r="BA72" s="1222">
        <f>'IN (mmol|L)'!Q78</f>
        <v>0</v>
      </c>
      <c r="BE72" s="3">
        <f t="shared" si="46"/>
        <v>0.83333333333333337</v>
      </c>
      <c r="BF72" s="1193">
        <f>IF('IN (mmol|L)'!E102="",0,'IN (mmol|L)'!E102)</f>
        <v>5.9444444444444446</v>
      </c>
      <c r="BG72" s="1193">
        <f>IF('IN (mmol|L)'!F102="",0,'IN (mmol|L)'!F102)</f>
        <v>10.722222222222221</v>
      </c>
      <c r="BH72" s="1193">
        <f>IF('IN (mmol|L)'!G102="",0,'IN (mmol|L)'!G102)</f>
        <v>7.7</v>
      </c>
      <c r="BI72" s="1193">
        <f>IF('IN (mmol|L)'!H102="",0,'IN (mmol|L)'!H102)</f>
        <v>10.7</v>
      </c>
      <c r="BJ72" s="1193">
        <f>IF('IN (mmol|L)'!I102="",0,'IN (mmol|L)'!I102)</f>
        <v>7</v>
      </c>
      <c r="BK72" s="1193">
        <f>IF('IN (mmol|L)'!J102="",0,'IN (mmol|L)'!J102)</f>
        <v>11.9</v>
      </c>
      <c r="BL72" s="1193">
        <f>IF('IN (mmol|L)'!K102="",0,'IN (mmol|L)'!K102)</f>
        <v>10.8</v>
      </c>
      <c r="BM72" s="1193">
        <f>IF('IN (mmol|L)'!L102="",0,'IN (mmol|L)'!L102)</f>
        <v>5.2</v>
      </c>
      <c r="BN72" s="1193">
        <f>IF('IN (mmol|L)'!M102="",0,'IN (mmol|L)'!M102)</f>
        <v>5.2</v>
      </c>
      <c r="BO72" s="1193">
        <f>IF('IN (mmol|L)'!N102="",0,'IN (mmol|L)'!N102)</f>
        <v>8.6999999999999993</v>
      </c>
      <c r="BP72" s="1193">
        <f>IF('IN (mmol|L)'!O102="",0,'IN (mmol|L)'!O102)</f>
        <v>0</v>
      </c>
      <c r="BQ72" s="1193">
        <f>IF('IN (mmol|L)'!P102="",0,'IN (mmol|L)'!P102)</f>
        <v>0</v>
      </c>
      <c r="BR72" s="1228">
        <f>IF('IN (mmol|L)'!Q102="",0,'IN (mmol|L)'!Q102)</f>
        <v>0</v>
      </c>
    </row>
    <row r="73" spans="1:71">
      <c r="A73" s="3">
        <f t="shared" si="45"/>
        <v>0.95833333333333337</v>
      </c>
      <c r="B73" s="1150">
        <f>'IN (mmol|L)'!E10</f>
        <v>7.3888888888888893</v>
      </c>
      <c r="C73" s="1150">
        <f>'IN (mmol|L)'!F10</f>
        <v>9</v>
      </c>
      <c r="D73" s="1150">
        <f>'IN (mmol|L)'!G10</f>
        <v>7.5555555555555554</v>
      </c>
      <c r="E73" s="1150">
        <f>'IN (mmol|L)'!H10</f>
        <v>5.2777777777777777</v>
      </c>
      <c r="F73" s="1150">
        <f>'IN (mmol|L)'!I10</f>
        <v>9.7222222222222214</v>
      </c>
      <c r="G73" s="1150">
        <f>'IN (mmol|L)'!J10</f>
        <v>10</v>
      </c>
      <c r="H73" s="1150">
        <f>'IN (mmol|L)'!K10</f>
        <v>7.2222222222222223</v>
      </c>
      <c r="I73" s="1150">
        <f>'IN (mmol|L)'!L10</f>
        <v>7.4</v>
      </c>
      <c r="J73" s="1150">
        <f>'IN (mmol|L)'!M10</f>
        <v>9</v>
      </c>
      <c r="K73" s="1150">
        <f>'IN (mmol|L)'!N10</f>
        <v>7.6</v>
      </c>
      <c r="L73" s="1150">
        <f>'IN (mmol|L)'!O10</f>
        <v>5.3</v>
      </c>
      <c r="M73" s="1150">
        <f>'IN (mmol|L)'!P10</f>
        <v>9.6999999999999993</v>
      </c>
      <c r="N73" s="1150">
        <f>'IN (mmol|L)'!Q10</f>
        <v>0</v>
      </c>
      <c r="O73" s="1152">
        <f>'IN (mmol|L)'!E33</f>
        <v>5.3</v>
      </c>
      <c r="P73" s="1152">
        <f>'IN (mmol|L)'!F33</f>
        <v>7.9</v>
      </c>
      <c r="Q73" s="1152">
        <f>'IN (mmol|L)'!G33</f>
        <v>0</v>
      </c>
      <c r="R73" s="1152">
        <f>'IN (mmol|L)'!H33</f>
        <v>0</v>
      </c>
      <c r="S73" s="1152">
        <f>'IN (mmol|L)'!I33</f>
        <v>0</v>
      </c>
      <c r="T73" s="1152">
        <f>'IN (mmol|L)'!J33</f>
        <v>0</v>
      </c>
      <c r="U73" s="1152">
        <f>'IN (mmol|L)'!K33</f>
        <v>0</v>
      </c>
      <c r="V73" s="1152">
        <f>'IN (mmol|L)'!L33</f>
        <v>0</v>
      </c>
      <c r="W73" s="1152">
        <f>'IN (mmol|L)'!M33</f>
        <v>0</v>
      </c>
      <c r="X73" s="1152">
        <f>'IN (mmol|L)'!N33</f>
        <v>0</v>
      </c>
      <c r="Y73" s="1152">
        <f>'IN (mmol|L)'!O33</f>
        <v>0</v>
      </c>
      <c r="Z73" s="1152">
        <f>'IN (mmol|L)'!P33</f>
        <v>0</v>
      </c>
      <c r="AA73" s="1152">
        <f>'IN (mmol|L)'!Q33</f>
        <v>0</v>
      </c>
      <c r="AB73" s="1221">
        <f>'IN (mmol|L)'!E56</f>
        <v>0</v>
      </c>
      <c r="AC73" s="1221">
        <f>'IN (mmol|L)'!F56</f>
        <v>0</v>
      </c>
      <c r="AD73" s="1221">
        <f>'IN (mmol|L)'!G56</f>
        <v>0</v>
      </c>
      <c r="AE73" s="1221">
        <f>'IN (mmol|L)'!H56</f>
        <v>0</v>
      </c>
      <c r="AF73" s="1221">
        <f>'IN (mmol|L)'!I56</f>
        <v>0</v>
      </c>
      <c r="AG73" s="1221">
        <f>'IN (mmol|L)'!J56</f>
        <v>0</v>
      </c>
      <c r="AH73" s="1221">
        <f>'IN (mmol|L)'!K56</f>
        <v>0</v>
      </c>
      <c r="AI73" s="1221">
        <f>'IN (mmol|L)'!L56</f>
        <v>0</v>
      </c>
      <c r="AJ73" s="1221">
        <f>'IN (mmol|L)'!M56</f>
        <v>0</v>
      </c>
      <c r="AK73" s="1221">
        <f>'IN (mmol|L)'!N56</f>
        <v>0</v>
      </c>
      <c r="AL73" s="1221">
        <f>'IN (mmol|L)'!O56</f>
        <v>0</v>
      </c>
      <c r="AM73" s="1221">
        <f>'IN (mmol|L)'!P56</f>
        <v>0</v>
      </c>
      <c r="AN73" s="1221">
        <f>'IN (mmol|L)'!Q56</f>
        <v>0</v>
      </c>
      <c r="AO73" s="1158">
        <f>'IN (mmol|L)'!E79</f>
        <v>0</v>
      </c>
      <c r="AP73" s="1158">
        <f>'IN (mmol|L)'!F79</f>
        <v>0</v>
      </c>
      <c r="AQ73" s="1158">
        <f>'IN (mmol|L)'!G79</f>
        <v>0</v>
      </c>
      <c r="AR73" s="1158">
        <f>'IN (mmol|L)'!H79</f>
        <v>0</v>
      </c>
      <c r="AS73" s="1158">
        <f>'IN (mmol|L)'!I79</f>
        <v>0</v>
      </c>
      <c r="AT73" s="1158">
        <f>'IN (mmol|L)'!J79</f>
        <v>0</v>
      </c>
      <c r="AU73" s="1158">
        <f>'IN (mmol|L)'!K79</f>
        <v>0</v>
      </c>
      <c r="AV73" s="1158">
        <f>'IN (mmol|L)'!L79</f>
        <v>0</v>
      </c>
      <c r="AW73" s="1158">
        <f>'IN (mmol|L)'!M79</f>
        <v>0</v>
      </c>
      <c r="AX73" s="1158">
        <f>'IN (mmol|L)'!N79</f>
        <v>0</v>
      </c>
      <c r="AY73" s="1158">
        <f>'IN (mmol|L)'!O79</f>
        <v>0</v>
      </c>
      <c r="AZ73" s="1158">
        <f>'IN (mmol|L)'!P79</f>
        <v>0</v>
      </c>
      <c r="BA73" s="1222">
        <f>'IN (mmol|L)'!Q79</f>
        <v>0</v>
      </c>
      <c r="BE73" s="3">
        <f t="shared" si="46"/>
        <v>0.95833333333333337</v>
      </c>
      <c r="BF73" s="1193">
        <f>IF('IN (mmol|L)'!E103="",0,'IN (mmol|L)'!E103)</f>
        <v>10</v>
      </c>
      <c r="BG73" s="1193">
        <f>IF('IN (mmol|L)'!F103="",0,'IN (mmol|L)'!F103)</f>
        <v>7.2222222222222223</v>
      </c>
      <c r="BH73" s="1193">
        <f>IF('IN (mmol|L)'!G103="",0,'IN (mmol|L)'!G103)</f>
        <v>7.4</v>
      </c>
      <c r="BI73" s="1193">
        <f>IF('IN (mmol|L)'!H103="",0,'IN (mmol|L)'!H103)</f>
        <v>9</v>
      </c>
      <c r="BJ73" s="1193">
        <f>IF('IN (mmol|L)'!I103="",0,'IN (mmol|L)'!I103)</f>
        <v>7.6</v>
      </c>
      <c r="BK73" s="1193">
        <f>IF('IN (mmol|L)'!J103="",0,'IN (mmol|L)'!J103)</f>
        <v>5.3</v>
      </c>
      <c r="BL73" s="1193">
        <f>IF('IN (mmol|L)'!K103="",0,'IN (mmol|L)'!K103)</f>
        <v>9.6999999999999993</v>
      </c>
      <c r="BM73" s="1193">
        <f>IF('IN (mmol|L)'!L103="",0,'IN (mmol|L)'!L103)</f>
        <v>0</v>
      </c>
      <c r="BN73" s="1193">
        <f>IF('IN (mmol|L)'!M103="",0,'IN (mmol|L)'!M103)</f>
        <v>5.3</v>
      </c>
      <c r="BO73" s="1193">
        <f>IF('IN (mmol|L)'!N103="",0,'IN (mmol|L)'!N103)</f>
        <v>7.9</v>
      </c>
      <c r="BP73" s="1193">
        <f>IF('IN (mmol|L)'!O103="",0,'IN (mmol|L)'!O103)</f>
        <v>0</v>
      </c>
      <c r="BQ73" s="1193">
        <f>IF('IN (mmol|L)'!P103="",0,'IN (mmol|L)'!P103)</f>
        <v>0</v>
      </c>
      <c r="BR73" s="1228">
        <f>IF('IN (mmol|L)'!Q103="",0,'IN (mmol|L)'!Q103)</f>
        <v>0</v>
      </c>
    </row>
    <row r="74" spans="1:71">
      <c r="A74" s="3" t="str">
        <f t="shared" si="45"/>
        <v>Nacht</v>
      </c>
      <c r="B74" s="1150">
        <f>'IN (mmol|L)'!E11</f>
        <v>5.8888888888888893</v>
      </c>
      <c r="C74" s="1150">
        <f>'IN (mmol|L)'!F11</f>
        <v>5.666666666666667</v>
      </c>
      <c r="D74" s="1150">
        <f>'IN (mmol|L)'!G11</f>
        <v>6.5</v>
      </c>
      <c r="E74" s="1150">
        <f>'IN (mmol|L)'!H11</f>
        <v>6.5555555555555554</v>
      </c>
      <c r="F74" s="1150">
        <f>'IN (mmol|L)'!I11</f>
        <v>6.5</v>
      </c>
      <c r="G74" s="1150">
        <f>'IN (mmol|L)'!J11</f>
        <v>5.2777777777777777</v>
      </c>
      <c r="H74" s="1150">
        <f>'IN (mmol|L)'!K11</f>
        <v>5.5555555555555554</v>
      </c>
      <c r="I74" s="1150">
        <f>'IN (mmol|L)'!L11</f>
        <v>5.9</v>
      </c>
      <c r="J74" s="1150">
        <f>'IN (mmol|L)'!M11</f>
        <v>5.8</v>
      </c>
      <c r="K74" s="1150">
        <f>'IN (mmol|L)'!N11</f>
        <v>6.5</v>
      </c>
      <c r="L74" s="1150">
        <f>'IN (mmol|L)'!O11</f>
        <v>6.6</v>
      </c>
      <c r="M74" s="1150">
        <f>'IN (mmol|L)'!P11</f>
        <v>6.5</v>
      </c>
      <c r="N74" s="1150">
        <f>'IN (mmol|L)'!Q11</f>
        <v>0</v>
      </c>
      <c r="O74" s="1152">
        <f>'IN (mmol|L)'!E34</f>
        <v>5.8</v>
      </c>
      <c r="P74" s="1152">
        <f>'IN (mmol|L)'!F34</f>
        <v>6.1</v>
      </c>
      <c r="Q74" s="1152">
        <f>'IN (mmol|L)'!G34</f>
        <v>0</v>
      </c>
      <c r="R74" s="1152">
        <f>'IN (mmol|L)'!H34</f>
        <v>0</v>
      </c>
      <c r="S74" s="1152">
        <f>'IN (mmol|L)'!I34</f>
        <v>0</v>
      </c>
      <c r="T74" s="1152">
        <f>'IN (mmol|L)'!J34</f>
        <v>0</v>
      </c>
      <c r="U74" s="1152">
        <f>'IN (mmol|L)'!K34</f>
        <v>0</v>
      </c>
      <c r="V74" s="1152">
        <f>'IN (mmol|L)'!L34</f>
        <v>0</v>
      </c>
      <c r="W74" s="1152">
        <f>'IN (mmol|L)'!M34</f>
        <v>0</v>
      </c>
      <c r="X74" s="1152">
        <f>'IN (mmol|L)'!N34</f>
        <v>0</v>
      </c>
      <c r="Y74" s="1152">
        <f>'IN (mmol|L)'!O34</f>
        <v>0</v>
      </c>
      <c r="Z74" s="1152">
        <f>'IN (mmol|L)'!P34</f>
        <v>0</v>
      </c>
      <c r="AA74" s="1152">
        <f>'IN (mmol|L)'!Q34</f>
        <v>0</v>
      </c>
      <c r="AB74" s="1221">
        <f>'IN (mmol|L)'!E57</f>
        <v>0</v>
      </c>
      <c r="AC74" s="1221">
        <f>'IN (mmol|L)'!F57</f>
        <v>0</v>
      </c>
      <c r="AD74" s="1221">
        <f>'IN (mmol|L)'!G57</f>
        <v>0</v>
      </c>
      <c r="AE74" s="1221">
        <f>'IN (mmol|L)'!H57</f>
        <v>0</v>
      </c>
      <c r="AF74" s="1221">
        <f>'IN (mmol|L)'!I57</f>
        <v>0</v>
      </c>
      <c r="AG74" s="1221">
        <f>'IN (mmol|L)'!J57</f>
        <v>0</v>
      </c>
      <c r="AH74" s="1221">
        <f>'IN (mmol|L)'!K57</f>
        <v>0</v>
      </c>
      <c r="AI74" s="1221">
        <f>'IN (mmol|L)'!L57</f>
        <v>0</v>
      </c>
      <c r="AJ74" s="1221">
        <f>'IN (mmol|L)'!M57</f>
        <v>0</v>
      </c>
      <c r="AK74" s="1221">
        <f>'IN (mmol|L)'!N57</f>
        <v>0</v>
      </c>
      <c r="AL74" s="1221">
        <f>'IN (mmol|L)'!O57</f>
        <v>0</v>
      </c>
      <c r="AM74" s="1221">
        <f>'IN (mmol|L)'!P57</f>
        <v>0</v>
      </c>
      <c r="AN74" s="1221">
        <f>'IN (mmol|L)'!Q57</f>
        <v>0</v>
      </c>
      <c r="AO74" s="1158">
        <f>'IN (mmol|L)'!E80</f>
        <v>0</v>
      </c>
      <c r="AP74" s="1158">
        <f>'IN (mmol|L)'!F80</f>
        <v>0</v>
      </c>
      <c r="AQ74" s="1158">
        <f>'IN (mmol|L)'!G80</f>
        <v>0</v>
      </c>
      <c r="AR74" s="1158">
        <f>'IN (mmol|L)'!H80</f>
        <v>0</v>
      </c>
      <c r="AS74" s="1158">
        <f>'IN (mmol|L)'!I80</f>
        <v>0</v>
      </c>
      <c r="AT74" s="1158">
        <f>'IN (mmol|L)'!J80</f>
        <v>0</v>
      </c>
      <c r="AU74" s="1158">
        <f>'IN (mmol|L)'!K80</f>
        <v>0</v>
      </c>
      <c r="AV74" s="1158">
        <f>'IN (mmol|L)'!L80</f>
        <v>0</v>
      </c>
      <c r="AW74" s="1158">
        <f>'IN (mmol|L)'!M80</f>
        <v>0</v>
      </c>
      <c r="AX74" s="1158">
        <f>'IN (mmol|L)'!N80</f>
        <v>0</v>
      </c>
      <c r="AY74" s="1158">
        <f>'IN (mmol|L)'!O80</f>
        <v>0</v>
      </c>
      <c r="AZ74" s="1158">
        <f>'IN (mmol|L)'!P80</f>
        <v>0</v>
      </c>
      <c r="BA74" s="1222">
        <f>'IN (mmol|L)'!Q80</f>
        <v>0</v>
      </c>
      <c r="BE74" s="3" t="str">
        <f t="shared" si="46"/>
        <v>Nacht</v>
      </c>
      <c r="BF74" s="1193">
        <f>IF('IN (mmol|L)'!E104="",0,'IN (mmol|L)'!E104)</f>
        <v>5.2777777777777777</v>
      </c>
      <c r="BG74" s="1193">
        <f>IF('IN (mmol|L)'!F104="",0,'IN (mmol|L)'!F104)</f>
        <v>5.5555555555555554</v>
      </c>
      <c r="BH74" s="1193">
        <f>IF('IN (mmol|L)'!G104="",0,'IN (mmol|L)'!G104)</f>
        <v>5.9</v>
      </c>
      <c r="BI74" s="1193">
        <f>IF('IN (mmol|L)'!H104="",0,'IN (mmol|L)'!H104)</f>
        <v>5.8</v>
      </c>
      <c r="BJ74" s="1193">
        <f>IF('IN (mmol|L)'!I104="",0,'IN (mmol|L)'!I104)</f>
        <v>6.5</v>
      </c>
      <c r="BK74" s="1193">
        <f>IF('IN (mmol|L)'!J104="",0,'IN (mmol|L)'!J104)</f>
        <v>6.6</v>
      </c>
      <c r="BL74" s="1193">
        <f>IF('IN (mmol|L)'!K104="",0,'IN (mmol|L)'!K104)</f>
        <v>6.5</v>
      </c>
      <c r="BM74" s="1193">
        <f>IF('IN (mmol|L)'!L104="",0,'IN (mmol|L)'!L104)</f>
        <v>0</v>
      </c>
      <c r="BN74" s="1193">
        <f>IF('IN (mmol|L)'!M104="",0,'IN (mmol|L)'!M104)</f>
        <v>5.8</v>
      </c>
      <c r="BO74" s="1193">
        <f>IF('IN (mmol|L)'!N104="",0,'IN (mmol|L)'!N104)</f>
        <v>6.1</v>
      </c>
      <c r="BP74" s="1193">
        <f>IF('IN (mmol|L)'!O104="",0,'IN (mmol|L)'!O104)</f>
        <v>0</v>
      </c>
      <c r="BQ74" s="1193">
        <f>IF('IN (mmol|L)'!P104="",0,'IN (mmol|L)'!P104)</f>
        <v>0</v>
      </c>
      <c r="BR74" s="1228">
        <f>IF('IN (mmol|L)'!Q104="",0,'IN (mmol|L)'!Q104)</f>
        <v>0</v>
      </c>
    </row>
    <row r="75" spans="1:71">
      <c r="A75" s="3" t="str">
        <f t="shared" si="45"/>
        <v>Früh</v>
      </c>
      <c r="B75" s="1150">
        <f>'IN (mmol|L)'!E12</f>
        <v>6.166666666666667</v>
      </c>
      <c r="C75" s="1150">
        <f>'IN (mmol|L)'!F12</f>
        <v>6.1111111111111107</v>
      </c>
      <c r="D75" s="1150">
        <f>'IN (mmol|L)'!G12</f>
        <v>6</v>
      </c>
      <c r="E75" s="1150">
        <f>'IN (mmol|L)'!H12</f>
        <v>6.2222222222222223</v>
      </c>
      <c r="F75" s="1150">
        <f>'IN (mmol|L)'!I12</f>
        <v>6</v>
      </c>
      <c r="G75" s="1150">
        <f>'IN (mmol|L)'!J12</f>
        <v>6.2777777777777777</v>
      </c>
      <c r="H75" s="1150">
        <f>'IN (mmol|L)'!K12</f>
        <v>6.2222222222222223</v>
      </c>
      <c r="I75" s="1150">
        <f>'IN (mmol|L)'!L12</f>
        <v>0</v>
      </c>
      <c r="J75" s="1150">
        <f>'IN (mmol|L)'!M12</f>
        <v>0</v>
      </c>
      <c r="K75" s="1150">
        <f>'IN (mmol|L)'!N12</f>
        <v>6</v>
      </c>
      <c r="L75" s="1150">
        <f>'IN (mmol|L)'!O12</f>
        <v>6.2</v>
      </c>
      <c r="M75" s="1150">
        <f>'IN (mmol|L)'!P12</f>
        <v>0</v>
      </c>
      <c r="N75" s="1150">
        <f>'IN (mmol|L)'!Q12</f>
        <v>0</v>
      </c>
      <c r="O75" s="1152">
        <f>'IN (mmol|L)'!E35</f>
        <v>6.2</v>
      </c>
      <c r="P75" s="1152">
        <f>'IN (mmol|L)'!F35</f>
        <v>6.3</v>
      </c>
      <c r="Q75" s="1152">
        <f>'IN (mmol|L)'!G35</f>
        <v>0</v>
      </c>
      <c r="R75" s="1152">
        <f>'IN (mmol|L)'!H35</f>
        <v>0</v>
      </c>
      <c r="S75" s="1152">
        <f>'IN (mmol|L)'!I35</f>
        <v>0</v>
      </c>
      <c r="T75" s="1152">
        <f>'IN (mmol|L)'!J35</f>
        <v>0</v>
      </c>
      <c r="U75" s="1152">
        <f>'IN (mmol|L)'!K35</f>
        <v>0</v>
      </c>
      <c r="V75" s="1152">
        <f>'IN (mmol|L)'!L35</f>
        <v>0</v>
      </c>
      <c r="W75" s="1152">
        <f>'IN (mmol|L)'!M35</f>
        <v>0</v>
      </c>
      <c r="X75" s="1152">
        <f>'IN (mmol|L)'!N35</f>
        <v>0</v>
      </c>
      <c r="Y75" s="1152">
        <f>'IN (mmol|L)'!O35</f>
        <v>0</v>
      </c>
      <c r="Z75" s="1152">
        <f>'IN (mmol|L)'!P35</f>
        <v>0</v>
      </c>
      <c r="AA75" s="1152">
        <f>'IN (mmol|L)'!Q35</f>
        <v>0</v>
      </c>
      <c r="AB75" s="1221">
        <f>'IN (mmol|L)'!E58</f>
        <v>0</v>
      </c>
      <c r="AC75" s="1221">
        <f>'IN (mmol|L)'!F58</f>
        <v>0</v>
      </c>
      <c r="AD75" s="1221">
        <f>'IN (mmol|L)'!G58</f>
        <v>0</v>
      </c>
      <c r="AE75" s="1221">
        <f>'IN (mmol|L)'!H58</f>
        <v>0</v>
      </c>
      <c r="AF75" s="1221">
        <f>'IN (mmol|L)'!I58</f>
        <v>0</v>
      </c>
      <c r="AG75" s="1221">
        <f>'IN (mmol|L)'!J58</f>
        <v>0</v>
      </c>
      <c r="AH75" s="1221">
        <f>'IN (mmol|L)'!K58</f>
        <v>0</v>
      </c>
      <c r="AI75" s="1221">
        <f>'IN (mmol|L)'!L58</f>
        <v>0</v>
      </c>
      <c r="AJ75" s="1221">
        <f>'IN (mmol|L)'!M58</f>
        <v>0</v>
      </c>
      <c r="AK75" s="1221">
        <f>'IN (mmol|L)'!N58</f>
        <v>0</v>
      </c>
      <c r="AL75" s="1221">
        <f>'IN (mmol|L)'!O58</f>
        <v>0</v>
      </c>
      <c r="AM75" s="1221">
        <f>'IN (mmol|L)'!P58</f>
        <v>0</v>
      </c>
      <c r="AN75" s="1221">
        <f>'IN (mmol|L)'!Q58</f>
        <v>0</v>
      </c>
      <c r="AO75" s="1158">
        <f>'IN (mmol|L)'!E81</f>
        <v>0</v>
      </c>
      <c r="AP75" s="1158">
        <f>'IN (mmol|L)'!F81</f>
        <v>0</v>
      </c>
      <c r="AQ75" s="1158">
        <f>'IN (mmol|L)'!G81</f>
        <v>0</v>
      </c>
      <c r="AR75" s="1158">
        <f>'IN (mmol|L)'!H81</f>
        <v>0</v>
      </c>
      <c r="AS75" s="1158">
        <f>'IN (mmol|L)'!I81</f>
        <v>0</v>
      </c>
      <c r="AT75" s="1158">
        <f>'IN (mmol|L)'!J81</f>
        <v>0</v>
      </c>
      <c r="AU75" s="1158">
        <f>'IN (mmol|L)'!K81</f>
        <v>0</v>
      </c>
      <c r="AV75" s="1158">
        <f>'IN (mmol|L)'!L81</f>
        <v>0</v>
      </c>
      <c r="AW75" s="1158">
        <f>'IN (mmol|L)'!M81</f>
        <v>0</v>
      </c>
      <c r="AX75" s="1158">
        <f>'IN (mmol|L)'!N81</f>
        <v>0</v>
      </c>
      <c r="AY75" s="1158">
        <f>'IN (mmol|L)'!O81</f>
        <v>0</v>
      </c>
      <c r="AZ75" s="1158">
        <f>'IN (mmol|L)'!P81</f>
        <v>0</v>
      </c>
      <c r="BA75" s="1222">
        <f>'IN (mmol|L)'!Q81</f>
        <v>0</v>
      </c>
      <c r="BE75" s="3" t="str">
        <f t="shared" si="46"/>
        <v>Früh</v>
      </c>
      <c r="BF75" s="1193">
        <f>IF('IN (mmol|L)'!E105="",0,'IN (mmol|L)'!E105)</f>
        <v>6.2777777777777777</v>
      </c>
      <c r="BG75" s="1193">
        <f>IF('IN (mmol|L)'!F105="",0,'IN (mmol|L)'!F105)</f>
        <v>6.2222222222222223</v>
      </c>
      <c r="BH75" s="1193">
        <f>IF('IN (mmol|L)'!G105="",0,'IN (mmol|L)'!G105)</f>
        <v>0</v>
      </c>
      <c r="BI75" s="1193">
        <f>IF('IN (mmol|L)'!H105="",0,'IN (mmol|L)'!H105)</f>
        <v>0</v>
      </c>
      <c r="BJ75" s="1193">
        <f>IF('IN (mmol|L)'!I105="",0,'IN (mmol|L)'!I105)</f>
        <v>6</v>
      </c>
      <c r="BK75" s="1193">
        <f>IF('IN (mmol|L)'!J105="",0,'IN (mmol|L)'!J105)</f>
        <v>6.2</v>
      </c>
      <c r="BL75" s="1193">
        <f>IF('IN (mmol|L)'!K105="",0,'IN (mmol|L)'!K105)</f>
        <v>0</v>
      </c>
      <c r="BM75" s="1193">
        <f>IF('IN (mmol|L)'!L105="",0,'IN (mmol|L)'!L105)</f>
        <v>0</v>
      </c>
      <c r="BN75" s="1193">
        <f>IF('IN (mmol|L)'!M105="",0,'IN (mmol|L)'!M105)</f>
        <v>6.2</v>
      </c>
      <c r="BO75" s="1193">
        <f>IF('IN (mmol|L)'!N105="",0,'IN (mmol|L)'!N105)</f>
        <v>6.3</v>
      </c>
      <c r="BP75" s="1193">
        <f>IF('IN (mmol|L)'!O105="",0,'IN (mmol|L)'!O105)</f>
        <v>0</v>
      </c>
      <c r="BQ75" s="1193">
        <f>IF('IN (mmol|L)'!P105="",0,'IN (mmol|L)'!P105)</f>
        <v>0</v>
      </c>
      <c r="BR75" s="1228">
        <f>IF('IN (mmol|L)'!Q105="",0,'IN (mmol|L)'!Q105)</f>
        <v>0</v>
      </c>
    </row>
    <row r="76" spans="1:71">
      <c r="A76" s="200" t="s">
        <v>10</v>
      </c>
      <c r="B76" s="1223">
        <f t="shared" ref="B76:BA76" si="47">B67-B75</f>
        <v>0</v>
      </c>
      <c r="C76" s="1224">
        <f t="shared" si="47"/>
        <v>0</v>
      </c>
      <c r="D76" s="1224">
        <f t="shared" si="47"/>
        <v>0</v>
      </c>
      <c r="E76" s="1224">
        <f t="shared" si="47"/>
        <v>0</v>
      </c>
      <c r="F76" s="1224">
        <f t="shared" si="47"/>
        <v>0</v>
      </c>
      <c r="G76" s="1224">
        <f t="shared" si="47"/>
        <v>0</v>
      </c>
      <c r="H76" s="1224">
        <f t="shared" si="47"/>
        <v>0</v>
      </c>
      <c r="I76" s="1224">
        <f t="shared" si="47"/>
        <v>6.2</v>
      </c>
      <c r="J76" s="1224">
        <f>J67-J75</f>
        <v>6.1</v>
      </c>
      <c r="K76" s="1224">
        <f>K67-K75</f>
        <v>0</v>
      </c>
      <c r="L76" s="1224">
        <f t="shared" si="47"/>
        <v>0</v>
      </c>
      <c r="M76" s="1224">
        <f t="shared" si="47"/>
        <v>6</v>
      </c>
      <c r="N76" s="1224">
        <f t="shared" si="47"/>
        <v>6.2</v>
      </c>
      <c r="O76" s="1225">
        <f t="shared" si="47"/>
        <v>0</v>
      </c>
      <c r="P76" s="1226">
        <f t="shared" si="47"/>
        <v>-0.39999999999999947</v>
      </c>
      <c r="Q76" s="1226">
        <f t="shared" si="47"/>
        <v>0</v>
      </c>
      <c r="R76" s="1226">
        <f t="shared" si="47"/>
        <v>0</v>
      </c>
      <c r="S76" s="1226">
        <f t="shared" si="47"/>
        <v>0</v>
      </c>
      <c r="T76" s="1226">
        <f t="shared" si="47"/>
        <v>0</v>
      </c>
      <c r="U76" s="1226">
        <f t="shared" si="47"/>
        <v>0</v>
      </c>
      <c r="V76" s="1226">
        <f t="shared" si="47"/>
        <v>0</v>
      </c>
      <c r="W76" s="1226">
        <f>W67-W75</f>
        <v>0</v>
      </c>
      <c r="X76" s="1226">
        <f>X67-X75</f>
        <v>0</v>
      </c>
      <c r="Y76" s="1226">
        <f t="shared" si="47"/>
        <v>0</v>
      </c>
      <c r="Z76" s="1226">
        <f t="shared" si="47"/>
        <v>0</v>
      </c>
      <c r="AA76" s="1227">
        <f t="shared" si="47"/>
        <v>0</v>
      </c>
      <c r="AB76" s="1226">
        <f t="shared" si="47"/>
        <v>0</v>
      </c>
      <c r="AC76" s="1226">
        <f t="shared" si="47"/>
        <v>0</v>
      </c>
      <c r="AD76" s="1226">
        <f t="shared" si="47"/>
        <v>0</v>
      </c>
      <c r="AE76" s="1226">
        <f t="shared" si="47"/>
        <v>0</v>
      </c>
      <c r="AF76" s="1226">
        <f t="shared" si="47"/>
        <v>0</v>
      </c>
      <c r="AG76" s="1226">
        <f t="shared" si="47"/>
        <v>0</v>
      </c>
      <c r="AH76" s="1226">
        <f t="shared" si="47"/>
        <v>0</v>
      </c>
      <c r="AI76" s="1226">
        <f t="shared" si="47"/>
        <v>0</v>
      </c>
      <c r="AJ76" s="1226">
        <f>AJ67-AJ75</f>
        <v>0</v>
      </c>
      <c r="AK76" s="1226">
        <f>AK67-AK75</f>
        <v>0</v>
      </c>
      <c r="AL76" s="1226">
        <f t="shared" si="47"/>
        <v>0</v>
      </c>
      <c r="AM76" s="1226">
        <f t="shared" si="47"/>
        <v>0</v>
      </c>
      <c r="AN76" s="1227">
        <f t="shared" si="47"/>
        <v>0</v>
      </c>
      <c r="AO76" s="1225">
        <f t="shared" si="47"/>
        <v>0</v>
      </c>
      <c r="AP76" s="1226">
        <f t="shared" si="47"/>
        <v>0</v>
      </c>
      <c r="AQ76" s="1226">
        <f t="shared" si="47"/>
        <v>0</v>
      </c>
      <c r="AR76" s="1226">
        <f t="shared" si="47"/>
        <v>0</v>
      </c>
      <c r="AS76" s="1226">
        <f t="shared" si="47"/>
        <v>0</v>
      </c>
      <c r="AT76" s="1226">
        <f t="shared" si="47"/>
        <v>0</v>
      </c>
      <c r="AU76" s="1226">
        <f t="shared" si="47"/>
        <v>0</v>
      </c>
      <c r="AV76" s="1226">
        <f t="shared" si="47"/>
        <v>0</v>
      </c>
      <c r="AW76" s="1226">
        <f>AW67-AW75</f>
        <v>0</v>
      </c>
      <c r="AX76" s="1226">
        <f>AX67-AX75</f>
        <v>0</v>
      </c>
      <c r="AY76" s="1226">
        <f t="shared" si="47"/>
        <v>0</v>
      </c>
      <c r="AZ76" s="1226">
        <f t="shared" si="47"/>
        <v>0</v>
      </c>
      <c r="BA76" s="1227">
        <f t="shared" si="47"/>
        <v>0</v>
      </c>
      <c r="BE76" s="200"/>
      <c r="BF76" s="1223"/>
      <c r="BG76" s="1224"/>
      <c r="BH76" s="1224"/>
      <c r="BI76" s="1224"/>
      <c r="BJ76" s="1224"/>
      <c r="BK76" s="1224"/>
      <c r="BL76" s="1224"/>
      <c r="BM76" s="1224"/>
      <c r="BN76" s="1224"/>
      <c r="BO76" s="1224"/>
      <c r="BP76" s="1224"/>
      <c r="BQ76" s="1224"/>
      <c r="BR76" s="1229"/>
    </row>
    <row r="77" spans="1:71" ht="14" thickBot="1"/>
    <row r="78" spans="1:71" ht="14" thickBot="1">
      <c r="A78" s="285" t="s">
        <v>46</v>
      </c>
      <c r="B78" s="271"/>
      <c r="C78" s="271"/>
      <c r="D78" s="271"/>
      <c r="E78" s="271"/>
      <c r="F78" s="271"/>
      <c r="G78" s="271"/>
      <c r="H78" s="271"/>
      <c r="I78" s="271"/>
      <c r="J78" s="271"/>
      <c r="K78" s="271"/>
      <c r="L78" s="271"/>
      <c r="M78" s="272"/>
    </row>
    <row r="79" spans="1:71" ht="14" thickBot="1">
      <c r="A79" s="277"/>
      <c r="B79" s="216" t="s">
        <v>192</v>
      </c>
      <c r="C79" s="216" t="s">
        <v>191</v>
      </c>
      <c r="D79" s="216" t="s">
        <v>190</v>
      </c>
      <c r="E79" s="216" t="s">
        <v>189</v>
      </c>
      <c r="F79" s="216" t="s">
        <v>188</v>
      </c>
      <c r="G79" s="216" t="s">
        <v>187</v>
      </c>
      <c r="H79" s="216" t="s">
        <v>186</v>
      </c>
      <c r="I79" s="216" t="s">
        <v>184</v>
      </c>
      <c r="J79" s="216" t="s">
        <v>183</v>
      </c>
      <c r="K79" s="216" t="s">
        <v>185</v>
      </c>
      <c r="L79" s="286" t="s">
        <v>173</v>
      </c>
      <c r="M79" s="291" t="s">
        <v>38</v>
      </c>
      <c r="AS79" s="285" t="s">
        <v>37</v>
      </c>
      <c r="AT79" s="271"/>
      <c r="AU79" s="271"/>
      <c r="AV79" s="271"/>
      <c r="AW79" s="271"/>
      <c r="AX79" s="271"/>
      <c r="AY79" s="271"/>
      <c r="AZ79" s="271"/>
      <c r="BA79" s="271"/>
      <c r="BB79" s="271"/>
      <c r="BC79" s="271"/>
      <c r="BD79" s="271"/>
      <c r="BE79" s="272"/>
      <c r="BG79" s="285" t="s">
        <v>114</v>
      </c>
      <c r="BH79" s="271"/>
      <c r="BI79" s="271"/>
      <c r="BJ79" s="271"/>
      <c r="BK79" s="271"/>
      <c r="BL79" s="271"/>
      <c r="BM79" s="271"/>
      <c r="BN79" s="271"/>
      <c r="BO79" s="271"/>
      <c r="BP79" s="271"/>
      <c r="BQ79" s="271"/>
      <c r="BR79" s="271"/>
      <c r="BS79" s="272"/>
    </row>
    <row r="80" spans="1:71">
      <c r="A80" s="279">
        <f t="shared" ref="A80:A88" si="48">A4</f>
        <v>0.29166666666666669</v>
      </c>
      <c r="B80" s="197">
        <f>COUNTIF($B67:$BA67,"&gt;0")-SUM(C80:$L80)</f>
        <v>0</v>
      </c>
      <c r="C80" s="197">
        <f>COUNTIF($B67:$BA67,"&gt;0,5")-SUM($D80:$L80)</f>
        <v>0</v>
      </c>
      <c r="D80" s="197">
        <f>COUNTIF($B67:$BA67,"&gt;2,0")-SUM(E80:L80)</f>
        <v>0</v>
      </c>
      <c r="E80" s="197">
        <f>COUNTIF($B67:$BA67,"&gt;3,5")-SUM(F80:L80)</f>
        <v>0</v>
      </c>
      <c r="F80" s="197">
        <f>COUNTIF($B67:$BA67,"&gt;5,0")-SUM(G80:L80)</f>
        <v>15</v>
      </c>
      <c r="G80" s="197">
        <f>COUNTIF($B67:$BA67,"&gt;6,5")-SUM(H80:L80)</f>
        <v>0</v>
      </c>
      <c r="H80" s="197">
        <f>COUNTIF($B67:$BA67,"&gt;8,0")-SUM(I80:L80)</f>
        <v>0</v>
      </c>
      <c r="I80" s="197">
        <f>COUNTIF($B67:$BA67,"&gt;9,5")-SUM(J80:L80)</f>
        <v>0</v>
      </c>
      <c r="J80" s="197">
        <f>COUNTIF($B67:$BA67,"&gt;11,0")-SUM(K80:L80)</f>
        <v>0</v>
      </c>
      <c r="K80" s="197">
        <f>COUNTIF($B67:$BA67,"&gt;12,5")-L80</f>
        <v>0</v>
      </c>
      <c r="L80" s="287">
        <f>COUNTIF($B67:$BA67,"&gt;14")</f>
        <v>0</v>
      </c>
      <c r="M80" s="292">
        <f>SUM(B80:L80)</f>
        <v>15</v>
      </c>
      <c r="N80" s="1"/>
      <c r="O80" s="229"/>
      <c r="P80" s="218"/>
      <c r="Q80" s="218"/>
      <c r="R80" s="218"/>
      <c r="S80" s="218"/>
      <c r="T80" s="218"/>
      <c r="U80" s="218"/>
      <c r="V80" s="218"/>
      <c r="W80" s="218"/>
      <c r="X80" s="218"/>
      <c r="Y80" s="218"/>
      <c r="Z80" s="959">
        <f>STDEV(B67:BA67)</f>
        <v>2.8003282079715137</v>
      </c>
      <c r="AS80" s="277"/>
      <c r="AT80" s="216" t="s">
        <v>192</v>
      </c>
      <c r="AU80" s="216" t="s">
        <v>191</v>
      </c>
      <c r="AV80" s="216" t="s">
        <v>190</v>
      </c>
      <c r="AW80" s="216" t="s">
        <v>189</v>
      </c>
      <c r="AX80" s="216" t="s">
        <v>188</v>
      </c>
      <c r="AY80" s="216" t="s">
        <v>187</v>
      </c>
      <c r="AZ80" s="216" t="s">
        <v>186</v>
      </c>
      <c r="BA80" s="216" t="s">
        <v>184</v>
      </c>
      <c r="BB80" s="216" t="s">
        <v>183</v>
      </c>
      <c r="BC80" s="216" t="s">
        <v>185</v>
      </c>
      <c r="BD80" s="286" t="s">
        <v>173</v>
      </c>
      <c r="BE80" s="278"/>
      <c r="BG80" s="277"/>
      <c r="BH80" s="216" t="s">
        <v>192</v>
      </c>
      <c r="BI80" s="216" t="s">
        <v>191</v>
      </c>
      <c r="BJ80" s="216" t="s">
        <v>190</v>
      </c>
      <c r="BK80" s="216" t="s">
        <v>189</v>
      </c>
      <c r="BL80" s="216" t="s">
        <v>188</v>
      </c>
      <c r="BM80" s="216" t="s">
        <v>187</v>
      </c>
      <c r="BN80" s="216" t="s">
        <v>186</v>
      </c>
      <c r="BO80" s="216" t="s">
        <v>184</v>
      </c>
      <c r="BP80" s="216" t="s">
        <v>183</v>
      </c>
      <c r="BQ80" s="216" t="s">
        <v>185</v>
      </c>
      <c r="BR80" s="286" t="s">
        <v>173</v>
      </c>
      <c r="BS80" s="278"/>
    </row>
    <row r="81" spans="1:71">
      <c r="A81" s="279">
        <f t="shared" si="48"/>
        <v>0.39583333333333331</v>
      </c>
      <c r="B81" s="201">
        <f>COUNTIF($B68:$BA68,"&gt;0")-SUM(C81:$L81)</f>
        <v>0</v>
      </c>
      <c r="C81" s="201">
        <f>COUNTIF($B68:$BA68,"&gt;0,5")-SUM($D81:$L81)</f>
        <v>0</v>
      </c>
      <c r="D81" s="201">
        <f>COUNTIF($B68:$BA68,"&gt;2,0")-SUM(E81:L81)</f>
        <v>0</v>
      </c>
      <c r="E81" s="201">
        <f>COUNTIF($B68:$BA68,"&gt;3,5")-SUM(F81:L81)</f>
        <v>0</v>
      </c>
      <c r="F81" s="201">
        <f>COUNTIF($B68:$BA68,"&gt;5,0")-SUM(G81:L81)</f>
        <v>0</v>
      </c>
      <c r="G81" s="201">
        <f>COUNTIF($B68:$BA68,"&gt;6,5")-SUM(H81:L81)</f>
        <v>0</v>
      </c>
      <c r="H81" s="201">
        <f>COUNTIF($B68:$BA68,"&gt;8,0")-SUM(I81:L81)</f>
        <v>5</v>
      </c>
      <c r="I81" s="201">
        <f>COUNTIF($B68:$BA68,"&gt;9,5")-SUM(J81:L81)</f>
        <v>7</v>
      </c>
      <c r="J81" s="201">
        <f>COUNTIF($B68:$BA68,"&gt;11,0")-SUM(K81:L81)</f>
        <v>1</v>
      </c>
      <c r="K81" s="201">
        <f>COUNTIF($B68:$BA68,"&gt;12,5")-L81</f>
        <v>0</v>
      </c>
      <c r="L81" s="288">
        <f>COUNTIF($B68:$BA68,"&gt;14")</f>
        <v>0</v>
      </c>
      <c r="M81" s="293">
        <f>SUM(B81:L81)</f>
        <v>13</v>
      </c>
      <c r="N81" s="196" t="str">
        <f>CONCATENATE("n=",SUM(O81:P81))</f>
        <v>n=1</v>
      </c>
      <c r="O81" s="230">
        <v>1</v>
      </c>
      <c r="P81" s="219"/>
      <c r="Q81" s="260"/>
      <c r="R81" s="260"/>
      <c r="S81" s="210"/>
      <c r="T81" s="210"/>
      <c r="U81" s="210"/>
      <c r="V81" s="218"/>
      <c r="W81" s="218"/>
      <c r="X81" s="218"/>
      <c r="Y81" s="218"/>
      <c r="Z81" s="960">
        <f t="shared" ref="Z81:Z88" si="49">STDEV(B68:BA68)</f>
        <v>4.3244181871976561</v>
      </c>
      <c r="AS81" s="279">
        <f t="shared" ref="AS81:AS89" si="50">A4</f>
        <v>0.29166666666666669</v>
      </c>
      <c r="AT81" s="197">
        <f>COUNTIF($BF67:$BR67,"&gt;0")-SUM(AU81:$BD81)</f>
        <v>0</v>
      </c>
      <c r="AU81" s="197">
        <f>COUNTIF($BF67:$BR67,"&gt;0,5")-SUM(AV81:$BD81)</f>
        <v>0</v>
      </c>
      <c r="AV81" s="197">
        <f>COUNTIF($BF67:$BR67,"&gt;2,0")-SUM(AW81:$BD81)</f>
        <v>0</v>
      </c>
      <c r="AW81" s="197">
        <f>COUNTIF($BF67:$BR67,"&gt;3,5")-SUM(AX81:$BD81)</f>
        <v>0</v>
      </c>
      <c r="AX81" s="197">
        <f>COUNTIF($BF67:$BR67,"&gt;5,0")-SUM(AY81:$BD81)</f>
        <v>10</v>
      </c>
      <c r="AY81" s="197">
        <f>COUNTIF($BF67:$BR67,"&gt;6,5")-SUM(AZ81:$BD81)</f>
        <v>0</v>
      </c>
      <c r="AZ81" s="197">
        <f>COUNTIF($BF67:$BR67,"&gt;8,0")-SUM(BA81:$BD81)</f>
        <v>0</v>
      </c>
      <c r="BA81" s="197">
        <f>COUNTIF($BF67:$BR67,"&gt;9,5")-SUM(BB81:$BD81)</f>
        <v>0</v>
      </c>
      <c r="BB81" s="197">
        <f>COUNTIF($BF67:$BR67,"&gt;11,0")-SUM(BC81:$BD81)</f>
        <v>0</v>
      </c>
      <c r="BC81" s="197">
        <f>COUNTIF($BF67:$BR67,"&gt;12,5")-SUM(BD81:$BD81)</f>
        <v>0</v>
      </c>
      <c r="BD81" s="197">
        <f>COUNTIF($BF67:$BR67,"&gt;14,0")</f>
        <v>0</v>
      </c>
      <c r="BE81" s="278"/>
      <c r="BG81" s="279">
        <f t="shared" ref="BG81:BG89" si="51">A4</f>
        <v>0.29166666666666669</v>
      </c>
      <c r="BH81" s="197">
        <f>COUNTIF($BF67:$BR67,"&gt;0")-SUM($BI81:BR81)</f>
        <v>0</v>
      </c>
      <c r="BI81" s="197">
        <f>COUNTIF($BF67:$BR67,"&gt;0,5")-SUM($BJ81:BR81)</f>
        <v>0</v>
      </c>
      <c r="BJ81" s="197">
        <f>COUNTIF($BF67:$BR67,"&gt;2,0")-SUM($BK81:BR81)</f>
        <v>0</v>
      </c>
      <c r="BK81" s="197">
        <f>COUNTIF($BF67:$BR67,"&gt;3,5")-SUM($BL81:BR81)</f>
        <v>0</v>
      </c>
      <c r="BL81" s="197">
        <f>COUNTIF($BF67:$BR67,"&gt;5,0")-SUM($BM81:BR81)</f>
        <v>10</v>
      </c>
      <c r="BM81" s="197">
        <f>COUNTIF($BF67:$BR67,"&gt;6,5")-SUM($BN81:BR81)</f>
        <v>0</v>
      </c>
      <c r="BN81" s="197">
        <f>COUNTIF($BF67:$BR67,"&gt;8,0")-SUM($BO81:BR81)</f>
        <v>0</v>
      </c>
      <c r="BO81" s="197">
        <f>COUNTIF($BF67:$BR67,"&gt;9,5")-SUM($BP81:BR81)</f>
        <v>0</v>
      </c>
      <c r="BP81" s="197">
        <f>COUNTIF($BF67:$BR67,"&gt;11,0")-SUM($BQ81:BR81)</f>
        <v>0</v>
      </c>
      <c r="BQ81" s="197">
        <f>COUNTIF($BF67:$BR67,"&gt;12,5")-SUM($BR81:BR81)</f>
        <v>0</v>
      </c>
      <c r="BR81" s="197">
        <f>COUNTIF($BF67:$BR67,"&gt;14,0")</f>
        <v>0</v>
      </c>
      <c r="BS81" s="278"/>
    </row>
    <row r="82" spans="1:71">
      <c r="A82" s="279">
        <f t="shared" si="48"/>
        <v>0.5</v>
      </c>
      <c r="B82" s="201">
        <f>COUNTIF($B69:$BA69,"&gt;0")-SUM(C82:$L82)</f>
        <v>0</v>
      </c>
      <c r="C82" s="201">
        <f t="shared" ref="C82:C88" si="52">COUNTIF($B69:$BA69,"&gt;0,5")-SUM($D82:$L82)</f>
        <v>0</v>
      </c>
      <c r="D82" s="201">
        <f t="shared" ref="D82:D87" si="53">COUNTIF($B69:$BA69,"&gt;2,0")-SUM(E82:L82)</f>
        <v>0</v>
      </c>
      <c r="E82" s="201">
        <f t="shared" ref="E82:E87" si="54">COUNTIF($B69:$BA69,"&gt;3,5")-SUM(F82:L82)</f>
        <v>2</v>
      </c>
      <c r="F82" s="201">
        <f t="shared" ref="F82:F87" si="55">COUNTIF($B69:$BA69,"&gt;5,0")-SUM(G82:L82)</f>
        <v>1</v>
      </c>
      <c r="G82" s="201">
        <f t="shared" ref="G82:G87" si="56">COUNTIF($B69:$BA69,"&gt;6,5")-SUM(H82:L82)</f>
        <v>5</v>
      </c>
      <c r="H82" s="201">
        <f t="shared" ref="H82:H87" si="57">COUNTIF($B69:$BA69,"&gt;8,0")-SUM(I82:L82)</f>
        <v>5</v>
      </c>
      <c r="I82" s="201">
        <f t="shared" ref="I82:I87" si="58">COUNTIF($B69:$BA69,"&gt;9,5")-SUM(J82:L82)</f>
        <v>1</v>
      </c>
      <c r="J82" s="201">
        <f t="shared" ref="J82:J87" si="59">COUNTIF($B69:$BA69,"&gt;11,0")-SUM(K82:L82)</f>
        <v>0</v>
      </c>
      <c r="K82" s="201">
        <f t="shared" ref="K82:K88" si="60">COUNTIF($B69:$BA69,"&gt;12,5")-L82</f>
        <v>0</v>
      </c>
      <c r="L82" s="288">
        <f t="shared" ref="L82:L88" si="61">COUNTIF($B69:$BA69,"&gt;14")</f>
        <v>0</v>
      </c>
      <c r="M82" s="293">
        <f t="shared" ref="M82:M87" si="62">SUM(B82:L82)</f>
        <v>14</v>
      </c>
      <c r="N82" s="196" t="str">
        <f>CONCATENATE("n=",SUM(O82:Q82))</f>
        <v>n=2</v>
      </c>
      <c r="O82" s="231">
        <v>1</v>
      </c>
      <c r="P82" s="210">
        <v>1</v>
      </c>
      <c r="Q82" s="219"/>
      <c r="R82" s="260"/>
      <c r="S82" s="260"/>
      <c r="T82" s="210"/>
      <c r="U82" s="210"/>
      <c r="V82" s="218"/>
      <c r="W82" s="218"/>
      <c r="X82" s="218"/>
      <c r="Y82" s="218"/>
      <c r="Z82" s="960">
        <f t="shared" si="49"/>
        <v>3.3845934859033617</v>
      </c>
      <c r="AS82" s="279">
        <f t="shared" si="50"/>
        <v>0.39583333333333331</v>
      </c>
      <c r="AT82" s="217">
        <f>COUNTIF($BF68:$BR68,"&gt;0")-SUM(AU82:$BD82)</f>
        <v>0</v>
      </c>
      <c r="AU82" s="217">
        <f>COUNTIF($BF68:$BR68,"&gt;0,5")-SUM(AV82:$BD82)</f>
        <v>0</v>
      </c>
      <c r="AV82" s="217">
        <f>COUNTIF($BF68:$BR68,"&gt;2,0")-SUM(AW82:$BD82)</f>
        <v>0</v>
      </c>
      <c r="AW82" s="217">
        <f>COUNTIF($BF68:$BR68,"&gt;3,5")-SUM(AX82:$BD82)</f>
        <v>0</v>
      </c>
      <c r="AX82" s="217">
        <f>COUNTIF($BF68:$BR68,"&gt;5,0")-SUM(AY82:$BD82)</f>
        <v>0</v>
      </c>
      <c r="AY82" s="217">
        <f>COUNTIF($BF68:$BR68,"&gt;6,5")-SUM(AZ82:$BD82)</f>
        <v>0</v>
      </c>
      <c r="AZ82" s="217">
        <f>COUNTIF($BF68:$BR68,"&gt;8,0")-SUM(BA82:$BD82)</f>
        <v>3</v>
      </c>
      <c r="BA82" s="217">
        <f>COUNTIF($BF68:$BR68,"&gt;9,5")-SUM(BB82:$BD82)</f>
        <v>4</v>
      </c>
      <c r="BB82" s="217">
        <f>COUNTIF($BF68:$BR68,"&gt;11,0")-SUM(BC82:$BD82)</f>
        <v>1</v>
      </c>
      <c r="BC82" s="217">
        <f>COUNTIF($BF68:$BR68,"&gt;12,5")-SUM(BD82:$BD82)</f>
        <v>0</v>
      </c>
      <c r="BD82" s="217">
        <f t="shared" ref="BD82:BD89" si="63">COUNTIF($BF68:$BR68,"&gt;14,0")</f>
        <v>0</v>
      </c>
      <c r="BE82" s="278"/>
      <c r="BG82" s="279">
        <f t="shared" si="51"/>
        <v>0.39583333333333331</v>
      </c>
      <c r="BH82" s="197"/>
      <c r="BI82" s="197"/>
      <c r="BJ82" s="197"/>
      <c r="BK82" s="197"/>
      <c r="BL82" s="197"/>
      <c r="BM82" s="197"/>
      <c r="BN82" s="197"/>
      <c r="BO82" s="197"/>
      <c r="BP82" s="197"/>
      <c r="BQ82" s="197"/>
      <c r="BR82" s="197"/>
      <c r="BS82" s="278"/>
    </row>
    <row r="83" spans="1:71">
      <c r="A83" s="279">
        <f t="shared" si="48"/>
        <v>0.60416666666666663</v>
      </c>
      <c r="B83" s="201">
        <f>COUNTIF($B70:$BA70,"&gt;0")-SUM(C83:$L83)</f>
        <v>0</v>
      </c>
      <c r="C83" s="201">
        <f t="shared" si="52"/>
        <v>0</v>
      </c>
      <c r="D83" s="201">
        <f t="shared" si="53"/>
        <v>0</v>
      </c>
      <c r="E83" s="201">
        <f t="shared" si="54"/>
        <v>1</v>
      </c>
      <c r="F83" s="201">
        <f t="shared" si="55"/>
        <v>6</v>
      </c>
      <c r="G83" s="201">
        <f t="shared" si="56"/>
        <v>2</v>
      </c>
      <c r="H83" s="201">
        <f t="shared" si="57"/>
        <v>1</v>
      </c>
      <c r="I83" s="201">
        <f t="shared" si="58"/>
        <v>2</v>
      </c>
      <c r="J83" s="201">
        <f t="shared" si="59"/>
        <v>0</v>
      </c>
      <c r="K83" s="201">
        <f t="shared" si="60"/>
        <v>0</v>
      </c>
      <c r="L83" s="288">
        <f t="shared" si="61"/>
        <v>0</v>
      </c>
      <c r="M83" s="293">
        <f t="shared" si="62"/>
        <v>12</v>
      </c>
      <c r="N83" s="196" t="str">
        <f>CONCATENATE("n=",SUM(O83:R83))</f>
        <v>n=4</v>
      </c>
      <c r="O83" s="231">
        <v>1</v>
      </c>
      <c r="P83" s="220">
        <v>2</v>
      </c>
      <c r="Q83" s="210">
        <v>1</v>
      </c>
      <c r="R83" s="219"/>
      <c r="S83" s="260"/>
      <c r="T83" s="260"/>
      <c r="U83" s="261"/>
      <c r="V83" s="262"/>
      <c r="W83" s="218"/>
      <c r="X83" s="218"/>
      <c r="Y83" s="218"/>
      <c r="Z83" s="960">
        <f>STDEV(B70:BA70)</f>
        <v>3.1127322561664728</v>
      </c>
      <c r="AS83" s="279">
        <f t="shared" si="50"/>
        <v>0.5</v>
      </c>
      <c r="AT83" s="217">
        <f>COUNTIF($BF69:$BR69,"&gt;0")-SUM(AU83:$BD83)</f>
        <v>0</v>
      </c>
      <c r="AU83" s="217">
        <f>COUNTIF($BF69:$BR69,"&gt;0,5")-SUM(AV83:$BD83)</f>
        <v>0</v>
      </c>
      <c r="AV83" s="217">
        <f>COUNTIF($BF69:$BR69,"&gt;2,0")-SUM(AW83:$BD83)</f>
        <v>0</v>
      </c>
      <c r="AW83" s="217">
        <f>COUNTIF($BF69:$BR69,"&gt;3,5")-SUM(AX83:$BD83)</f>
        <v>1</v>
      </c>
      <c r="AX83" s="217">
        <f>COUNTIF($BF69:$BR69,"&gt;5,0")-SUM(AY83:$BD83)</f>
        <v>1</v>
      </c>
      <c r="AY83" s="217">
        <f>COUNTIF($BF69:$BR69,"&gt;6,5")-SUM(AZ83:$BD83)</f>
        <v>3</v>
      </c>
      <c r="AZ83" s="217">
        <f>COUNTIF($BF69:$BR69,"&gt;8,0")-SUM(BA83:$BD83)</f>
        <v>3</v>
      </c>
      <c r="BA83" s="217">
        <f>COUNTIF($BF69:$BR69,"&gt;9,5")-SUM(BB83:$BD83)</f>
        <v>1</v>
      </c>
      <c r="BB83" s="217">
        <f>COUNTIF($BF69:$BR69,"&gt;11,0")-SUM(BC83:$BD83)</f>
        <v>0</v>
      </c>
      <c r="BC83" s="217">
        <f>COUNTIF($BF69:$BR69,"&gt;12,5")-SUM(BD83:$BD83)</f>
        <v>0</v>
      </c>
      <c r="BD83" s="217">
        <f t="shared" si="63"/>
        <v>0</v>
      </c>
      <c r="BE83" s="278"/>
      <c r="BG83" s="279">
        <f t="shared" si="51"/>
        <v>0.5</v>
      </c>
      <c r="BH83" s="197">
        <f>COUNTIF($BF69:$BR69,"&gt;0")-SUM($BI83:BR83)</f>
        <v>0</v>
      </c>
      <c r="BI83" s="197">
        <f>COUNTIF($BF69:$BR69,"&gt;0,5")-SUM($BJ83:BR83)</f>
        <v>0</v>
      </c>
      <c r="BJ83" s="197">
        <f>COUNTIF($BF69:$BR69,"&gt;2,0")-SUM($BK83:BR83)</f>
        <v>0</v>
      </c>
      <c r="BK83" s="197">
        <f>COUNTIF($BF69:$BR69,"&gt;3,5")-SUM($BL83:BR83)</f>
        <v>1</v>
      </c>
      <c r="BL83" s="197">
        <f>COUNTIF($BF69:$BR69,"&gt;5,0")-SUM($BM83:BR83)</f>
        <v>1</v>
      </c>
      <c r="BM83" s="197">
        <f>COUNTIF($BF69:$BR69,"&gt;6,5")-SUM($BN83:BR83)</f>
        <v>3</v>
      </c>
      <c r="BN83" s="197">
        <f>COUNTIF($BF69:$BR69,"&gt;8,0")-SUM($BO83:BR83)</f>
        <v>3</v>
      </c>
      <c r="BO83" s="197">
        <f>COUNTIF($BF69:$BR69,"&gt;9,5")-SUM($BP83:BR83)</f>
        <v>1</v>
      </c>
      <c r="BP83" s="197">
        <f>COUNTIF($BF69:$BR69,"&gt;11,0")-SUM($BQ83:BR83)</f>
        <v>0</v>
      </c>
      <c r="BQ83" s="197">
        <f>COUNTIF($BF69:$BR69,"&gt;12,5")-SUM($BR83:BR83)</f>
        <v>0</v>
      </c>
      <c r="BR83" s="197">
        <f>COUNTIF($BF69:$BR69,"&gt;14,0")</f>
        <v>0</v>
      </c>
      <c r="BS83" s="278"/>
    </row>
    <row r="84" spans="1:71">
      <c r="A84" s="279">
        <f t="shared" si="48"/>
        <v>0.72916666666666663</v>
      </c>
      <c r="B84" s="201">
        <f>COUNTIF($B71:$BA71,"&gt;0")-SUM(C84:$L84)</f>
        <v>0</v>
      </c>
      <c r="C84" s="201">
        <f t="shared" si="52"/>
        <v>0</v>
      </c>
      <c r="D84" s="201">
        <f t="shared" si="53"/>
        <v>0</v>
      </c>
      <c r="E84" s="201">
        <f t="shared" si="54"/>
        <v>3</v>
      </c>
      <c r="F84" s="201">
        <f t="shared" si="55"/>
        <v>2</v>
      </c>
      <c r="G84" s="201">
        <f t="shared" si="56"/>
        <v>4</v>
      </c>
      <c r="H84" s="201">
        <f t="shared" si="57"/>
        <v>6</v>
      </c>
      <c r="I84" s="201">
        <f t="shared" si="58"/>
        <v>0</v>
      </c>
      <c r="J84" s="201">
        <f t="shared" si="59"/>
        <v>0</v>
      </c>
      <c r="K84" s="201">
        <f t="shared" si="60"/>
        <v>0</v>
      </c>
      <c r="L84" s="288">
        <f t="shared" si="61"/>
        <v>0</v>
      </c>
      <c r="M84" s="293">
        <f t="shared" si="62"/>
        <v>15</v>
      </c>
      <c r="N84" s="196" t="str">
        <f>CONCATENATE("n=",SUM(O84:S84))</f>
        <v>n=8</v>
      </c>
      <c r="O84" s="231">
        <v>1</v>
      </c>
      <c r="P84" s="220">
        <v>3</v>
      </c>
      <c r="Q84" s="220">
        <v>3</v>
      </c>
      <c r="R84" s="210">
        <v>1</v>
      </c>
      <c r="S84" s="219"/>
      <c r="T84" s="260"/>
      <c r="U84" s="260"/>
      <c r="V84" s="262"/>
      <c r="W84" s="262"/>
      <c r="X84" s="262"/>
      <c r="Y84" s="218"/>
      <c r="Z84" s="960">
        <f t="shared" si="49"/>
        <v>3.3649886982778749</v>
      </c>
      <c r="AS84" s="279">
        <f t="shared" si="50"/>
        <v>0.60416666666666663</v>
      </c>
      <c r="AT84" s="217">
        <f>COUNTIF($BF70:$BR70,"&gt;0")-SUM(AU84:$BD84)</f>
        <v>0</v>
      </c>
      <c r="AU84" s="217">
        <f>COUNTIF($BF70:$BR70,"&gt;0,5")-SUM(AV84:$BD84)</f>
        <v>0</v>
      </c>
      <c r="AV84" s="217">
        <f>COUNTIF($BF70:$BR70,"&gt;2,0")-SUM(AW84:$BD84)</f>
        <v>0</v>
      </c>
      <c r="AW84" s="217">
        <f>COUNTIF($BF70:$BR70,"&gt;3,5")-SUM(AX84:$BD84)</f>
        <v>1</v>
      </c>
      <c r="AX84" s="217">
        <f>COUNTIF($BF70:$BR70,"&gt;5,0")-SUM(AY84:$BD84)</f>
        <v>3</v>
      </c>
      <c r="AY84" s="217">
        <f>COUNTIF($BF70:$BR70,"&gt;6,5")-SUM(AZ84:$BD84)</f>
        <v>2</v>
      </c>
      <c r="AZ84" s="217">
        <f>COUNTIF($BF70:$BR70,"&gt;8,0")-SUM(BA84:$BD84)</f>
        <v>1</v>
      </c>
      <c r="BA84" s="217">
        <f>COUNTIF($BF70:$BR70,"&gt;9,5")-SUM(BB84:$BD84)</f>
        <v>1</v>
      </c>
      <c r="BB84" s="217">
        <f>COUNTIF($BF70:$BR70,"&gt;11,0")-SUM(BC84:$BD84)</f>
        <v>0</v>
      </c>
      <c r="BC84" s="217">
        <f>COUNTIF($BF70:$BR70,"&gt;12,5")-SUM(BD84:$BD84)</f>
        <v>0</v>
      </c>
      <c r="BD84" s="217">
        <f t="shared" si="63"/>
        <v>0</v>
      </c>
      <c r="BE84" s="278"/>
      <c r="BG84" s="279">
        <f t="shared" si="51"/>
        <v>0.60416666666666663</v>
      </c>
      <c r="BH84" s="197"/>
      <c r="BI84" s="197"/>
      <c r="BJ84" s="197"/>
      <c r="BK84" s="197"/>
      <c r="BL84" s="197"/>
      <c r="BM84" s="197"/>
      <c r="BN84" s="197"/>
      <c r="BO84" s="197"/>
      <c r="BP84" s="197"/>
      <c r="BQ84" s="197"/>
      <c r="BR84" s="197"/>
      <c r="BS84" s="278"/>
    </row>
    <row r="85" spans="1:71">
      <c r="A85" s="279">
        <f t="shared" si="48"/>
        <v>0.83333333333333337</v>
      </c>
      <c r="B85" s="201">
        <f>COUNTIF($B72:$BA72,"&gt;0")-SUM(C85:$L85)</f>
        <v>0</v>
      </c>
      <c r="C85" s="201">
        <f t="shared" si="52"/>
        <v>0</v>
      </c>
      <c r="D85" s="201">
        <f t="shared" si="53"/>
        <v>0</v>
      </c>
      <c r="E85" s="201">
        <f t="shared" si="54"/>
        <v>0</v>
      </c>
      <c r="F85" s="201">
        <f t="shared" si="55"/>
        <v>3</v>
      </c>
      <c r="G85" s="201">
        <f t="shared" si="56"/>
        <v>3</v>
      </c>
      <c r="H85" s="201">
        <f t="shared" si="57"/>
        <v>1</v>
      </c>
      <c r="I85" s="201">
        <f t="shared" si="58"/>
        <v>5</v>
      </c>
      <c r="J85" s="201">
        <f t="shared" si="59"/>
        <v>2</v>
      </c>
      <c r="K85" s="201">
        <f t="shared" si="60"/>
        <v>0</v>
      </c>
      <c r="L85" s="288">
        <f t="shared" si="61"/>
        <v>0</v>
      </c>
      <c r="M85" s="293">
        <f t="shared" si="62"/>
        <v>14</v>
      </c>
      <c r="N85" s="196" t="str">
        <f>CONCATENATE("n=",SUM(O85:T85))</f>
        <v>n=16</v>
      </c>
      <c r="O85" s="231">
        <v>1</v>
      </c>
      <c r="P85" s="210">
        <v>4</v>
      </c>
      <c r="Q85" s="220">
        <v>6</v>
      </c>
      <c r="R85" s="210">
        <v>4</v>
      </c>
      <c r="S85" s="210">
        <v>1</v>
      </c>
      <c r="T85" s="219"/>
      <c r="U85" s="260"/>
      <c r="V85" s="260"/>
      <c r="W85" s="262"/>
      <c r="X85" s="262"/>
      <c r="Y85" s="218"/>
      <c r="Z85" s="960">
        <f t="shared" si="49"/>
        <v>4.1822261908686631</v>
      </c>
      <c r="AS85" s="279">
        <f t="shared" si="50"/>
        <v>0.72916666666666663</v>
      </c>
      <c r="AT85" s="217">
        <f>COUNTIF($BF71:$BR71,"&gt;0")-SUM(AU85:$BD85)</f>
        <v>0</v>
      </c>
      <c r="AU85" s="217">
        <f>COUNTIF($BF71:$BR71,"&gt;0,5")-SUM(AV85:$BD85)</f>
        <v>0</v>
      </c>
      <c r="AV85" s="217">
        <f>COUNTIF($BF71:$BR71,"&gt;2,0")-SUM(AW85:$BD85)</f>
        <v>0</v>
      </c>
      <c r="AW85" s="217">
        <f>COUNTIF($BF71:$BR71,"&gt;3,5")-SUM(AX85:$BD85)</f>
        <v>2</v>
      </c>
      <c r="AX85" s="217">
        <f>COUNTIF($BF71:$BR71,"&gt;5,0")-SUM(AY85:$BD85)</f>
        <v>2</v>
      </c>
      <c r="AY85" s="217">
        <f>COUNTIF($BF71:$BR71,"&gt;6,5")-SUM(AZ85:$BD85)</f>
        <v>2</v>
      </c>
      <c r="AZ85" s="217">
        <f>COUNTIF($BF71:$BR71,"&gt;8,0")-SUM(BA85:$BD85)</f>
        <v>4</v>
      </c>
      <c r="BA85" s="217">
        <f>COUNTIF($BF71:$BR71,"&gt;9,5")-SUM(BB85:$BD85)</f>
        <v>0</v>
      </c>
      <c r="BB85" s="217">
        <f>COUNTIF($BF71:$BR71,"&gt;11,0")-SUM(BC85:$BD85)</f>
        <v>0</v>
      </c>
      <c r="BC85" s="217">
        <f>COUNTIF($BF71:$BR71,"&gt;12,5")-SUM(BD85:$BD85)</f>
        <v>0</v>
      </c>
      <c r="BD85" s="217">
        <f t="shared" si="63"/>
        <v>0</v>
      </c>
      <c r="BE85" s="278"/>
      <c r="BG85" s="279">
        <f t="shared" si="51"/>
        <v>0.72916666666666663</v>
      </c>
      <c r="BH85" s="197">
        <f>COUNTIF($BF71:$BR71,"&gt;0")-SUM($BI85:BR85)</f>
        <v>0</v>
      </c>
      <c r="BI85" s="197">
        <f>COUNTIF($BF71:$BR71,"&gt;0,5")-SUM($BJ85:BR85)</f>
        <v>0</v>
      </c>
      <c r="BJ85" s="197">
        <f>COUNTIF($BF71:$BR71,"&gt;2,0")-SUM($BK85:BR85)</f>
        <v>0</v>
      </c>
      <c r="BK85" s="197">
        <f>COUNTIF($BF71:$BR71,"&gt;3,5")-SUM($BL85:BR85)</f>
        <v>2</v>
      </c>
      <c r="BL85" s="197">
        <f>COUNTIF($BF71:$BR71,"&gt;5,0")-SUM($BM85:BR85)</f>
        <v>2</v>
      </c>
      <c r="BM85" s="197">
        <f>COUNTIF($BF71:$BR71,"&gt;6,5")-SUM($BN85:BR85)</f>
        <v>2</v>
      </c>
      <c r="BN85" s="197">
        <f>COUNTIF($BF71:$BR71,"&gt;8,0")-SUM($BO85:BR85)</f>
        <v>4</v>
      </c>
      <c r="BO85" s="197">
        <f>COUNTIF($BF71:$BR71,"&gt;9,5")-SUM($BP85:BR85)</f>
        <v>0</v>
      </c>
      <c r="BP85" s="197">
        <f>COUNTIF($BF71:$BR71,"&gt;11,0")-SUM($BQ85:BR85)</f>
        <v>0</v>
      </c>
      <c r="BQ85" s="197">
        <f>COUNTIF($BF71:$BR71,"&gt;12,5")-SUM($BR85:BR85)</f>
        <v>0</v>
      </c>
      <c r="BR85" s="197">
        <f>COUNTIF($BF71:$BR71,"&gt;14,0")</f>
        <v>0</v>
      </c>
      <c r="BS85" s="278"/>
    </row>
    <row r="86" spans="1:71">
      <c r="A86" s="279">
        <f t="shared" si="48"/>
        <v>0.95833333333333337</v>
      </c>
      <c r="B86" s="201">
        <f>COUNTIF($B73:$BA73,"&gt;0")-SUM(C86:$L86)</f>
        <v>0</v>
      </c>
      <c r="C86" s="201">
        <f t="shared" si="52"/>
        <v>0</v>
      </c>
      <c r="D86" s="201">
        <f t="shared" si="53"/>
        <v>0</v>
      </c>
      <c r="E86" s="201">
        <f t="shared" si="54"/>
        <v>0</v>
      </c>
      <c r="F86" s="201">
        <f t="shared" si="55"/>
        <v>3</v>
      </c>
      <c r="G86" s="201">
        <f t="shared" si="56"/>
        <v>6</v>
      </c>
      <c r="H86" s="201">
        <f t="shared" si="57"/>
        <v>2</v>
      </c>
      <c r="I86" s="201">
        <f t="shared" si="58"/>
        <v>3</v>
      </c>
      <c r="J86" s="201">
        <f t="shared" si="59"/>
        <v>0</v>
      </c>
      <c r="K86" s="201">
        <f t="shared" si="60"/>
        <v>0</v>
      </c>
      <c r="L86" s="288">
        <f t="shared" si="61"/>
        <v>0</v>
      </c>
      <c r="M86" s="293">
        <f t="shared" si="62"/>
        <v>14</v>
      </c>
      <c r="N86" s="214" t="str">
        <f>CONCATENATE("n=",SUM(O86:U86))</f>
        <v>n=32</v>
      </c>
      <c r="O86" s="232">
        <v>1</v>
      </c>
      <c r="P86" s="222">
        <v>5</v>
      </c>
      <c r="Q86" s="221">
        <v>10</v>
      </c>
      <c r="R86" s="221">
        <v>10</v>
      </c>
      <c r="S86" s="222">
        <v>5</v>
      </c>
      <c r="T86" s="222">
        <v>1</v>
      </c>
      <c r="U86" s="223"/>
      <c r="V86" s="260"/>
      <c r="W86" s="260"/>
      <c r="X86" s="262"/>
      <c r="Y86" s="218"/>
      <c r="Z86" s="960">
        <f t="shared" si="49"/>
        <v>3.5633917008598912</v>
      </c>
      <c r="AS86" s="279">
        <f t="shared" si="50"/>
        <v>0.83333333333333337</v>
      </c>
      <c r="AT86" s="217">
        <f>COUNTIF($BF72:$BR72,"&gt;0")-SUM(AU86:$BD86)</f>
        <v>0</v>
      </c>
      <c r="AU86" s="217">
        <f>COUNTIF($BF72:$BR72,"&gt;0,5")-SUM(AV86:$BD86)</f>
        <v>0</v>
      </c>
      <c r="AV86" s="217">
        <f>COUNTIF($BF72:$BR72,"&gt;2,0")-SUM(AW86:$BD86)</f>
        <v>0</v>
      </c>
      <c r="AW86" s="217">
        <f>COUNTIF($BF72:$BR72,"&gt;3,5")-SUM(AX86:$BD86)</f>
        <v>0</v>
      </c>
      <c r="AX86" s="217">
        <f>COUNTIF($BF72:$BR72,"&gt;5,0")-SUM(AY86:$BD86)</f>
        <v>3</v>
      </c>
      <c r="AY86" s="217">
        <f>COUNTIF($BF72:$BR72,"&gt;6,5")-SUM(AZ86:$BD86)</f>
        <v>2</v>
      </c>
      <c r="AZ86" s="217">
        <f>COUNTIF($BF72:$BR72,"&gt;8,0")-SUM(BA86:$BD86)</f>
        <v>1</v>
      </c>
      <c r="BA86" s="217">
        <f>COUNTIF($BF72:$BR72,"&gt;9,5")-SUM(BB86:$BD86)</f>
        <v>3</v>
      </c>
      <c r="BB86" s="217">
        <f>COUNTIF($BF72:$BR72,"&gt;11,0")-SUM(BC86:$BD86)</f>
        <v>1</v>
      </c>
      <c r="BC86" s="217">
        <f>COUNTIF($BF72:$BR72,"&gt;12,5")-SUM(BD86:$BD86)</f>
        <v>0</v>
      </c>
      <c r="BD86" s="217">
        <f t="shared" si="63"/>
        <v>0</v>
      </c>
      <c r="BE86" s="278"/>
      <c r="BG86" s="279">
        <f t="shared" si="51"/>
        <v>0.83333333333333337</v>
      </c>
      <c r="BH86" s="197"/>
      <c r="BI86" s="197"/>
      <c r="BJ86" s="197"/>
      <c r="BK86" s="197"/>
      <c r="BL86" s="197"/>
      <c r="BM86" s="197"/>
      <c r="BN86" s="197"/>
      <c r="BO86" s="197"/>
      <c r="BP86" s="197"/>
      <c r="BQ86" s="197"/>
      <c r="BR86" s="197"/>
      <c r="BS86" s="278"/>
    </row>
    <row r="87" spans="1:71">
      <c r="A87" s="279" t="str">
        <f t="shared" si="48"/>
        <v>Nacht</v>
      </c>
      <c r="B87" s="201">
        <f>COUNTIF($B74:$BA74,"&gt;0")-SUM(C87:$L87)</f>
        <v>0</v>
      </c>
      <c r="C87" s="201">
        <f t="shared" si="52"/>
        <v>0</v>
      </c>
      <c r="D87" s="201">
        <f t="shared" si="53"/>
        <v>0</v>
      </c>
      <c r="E87" s="201">
        <f t="shared" si="54"/>
        <v>0</v>
      </c>
      <c r="F87" s="201">
        <f t="shared" si="55"/>
        <v>12</v>
      </c>
      <c r="G87" s="201">
        <f t="shared" si="56"/>
        <v>2</v>
      </c>
      <c r="H87" s="201">
        <f t="shared" si="57"/>
        <v>0</v>
      </c>
      <c r="I87" s="201">
        <f t="shared" si="58"/>
        <v>0</v>
      </c>
      <c r="J87" s="201">
        <f t="shared" si="59"/>
        <v>0</v>
      </c>
      <c r="K87" s="201">
        <f t="shared" si="60"/>
        <v>0</v>
      </c>
      <c r="L87" s="288">
        <f t="shared" si="61"/>
        <v>0</v>
      </c>
      <c r="M87" s="293">
        <f t="shared" si="62"/>
        <v>14</v>
      </c>
      <c r="N87" s="202" t="str">
        <f>CONCATENATE("n=",SUM(O87:V87))</f>
        <v>n=64</v>
      </c>
      <c r="O87" s="233">
        <v>1</v>
      </c>
      <c r="P87" s="224">
        <v>6</v>
      </c>
      <c r="Q87" s="224">
        <v>15</v>
      </c>
      <c r="R87" s="224">
        <v>20</v>
      </c>
      <c r="S87" s="224">
        <v>15</v>
      </c>
      <c r="T87" s="224">
        <v>6</v>
      </c>
      <c r="U87" s="224">
        <v>1</v>
      </c>
      <c r="V87" s="223"/>
      <c r="W87" s="263">
        <f>STDEV(C100:I119)</f>
        <v>30.860669992418384</v>
      </c>
      <c r="X87" s="263"/>
      <c r="Y87" s="262"/>
      <c r="Z87" s="960">
        <f>STDEV(B74:BA74)</f>
        <v>2.7329852842207889</v>
      </c>
      <c r="AS87" s="279">
        <f t="shared" si="50"/>
        <v>0.95833333333333337</v>
      </c>
      <c r="AT87" s="217">
        <f>COUNTIF($BF73:$BR73,"&gt;0")-SUM(AU87:$BD87)</f>
        <v>0</v>
      </c>
      <c r="AU87" s="217">
        <f>COUNTIF($BF73:$BR73,"&gt;0,5")-SUM(AV87:$BD87)</f>
        <v>0</v>
      </c>
      <c r="AV87" s="217">
        <f>COUNTIF($BF73:$BR73,"&gt;2,0")-SUM(AW87:$BD87)</f>
        <v>0</v>
      </c>
      <c r="AW87" s="217">
        <f>COUNTIF($BF73:$BR73,"&gt;3,5")-SUM(AX87:$BD87)</f>
        <v>0</v>
      </c>
      <c r="AX87" s="217">
        <f>COUNTIF($BF73:$BR73,"&gt;5,0")-SUM(AY87:$BD87)</f>
        <v>2</v>
      </c>
      <c r="AY87" s="217">
        <f>COUNTIF($BF73:$BR73,"&gt;6,5")-SUM(AZ87:$BD87)</f>
        <v>4</v>
      </c>
      <c r="AZ87" s="217">
        <f>COUNTIF($BF73:$BR73,"&gt;8,0")-SUM(BA87:$BD87)</f>
        <v>1</v>
      </c>
      <c r="BA87" s="217">
        <f>COUNTIF($BF73:$BR73,"&gt;9,5")-SUM(BB87:$BD87)</f>
        <v>2</v>
      </c>
      <c r="BB87" s="217">
        <f>COUNTIF($BF73:$BR73,"&gt;11,0")-SUM(BC87:$BD87)</f>
        <v>0</v>
      </c>
      <c r="BC87" s="217">
        <f>COUNTIF($BF73:$BR73,"&gt;12,5")-SUM(BD87:$BD87)</f>
        <v>0</v>
      </c>
      <c r="BD87" s="217">
        <f t="shared" si="63"/>
        <v>0</v>
      </c>
      <c r="BE87" s="278"/>
      <c r="BG87" s="279">
        <f t="shared" si="51"/>
        <v>0.95833333333333337</v>
      </c>
      <c r="BH87" s="197">
        <f>COUNTIF($BF73:$BR73,"&gt;0")-SUM($BI87:BR87)</f>
        <v>0</v>
      </c>
      <c r="BI87" s="197">
        <f>COUNTIF($BF73:$BR73,"&gt;0,5")-SUM($BJ87:BR87)</f>
        <v>0</v>
      </c>
      <c r="BJ87" s="197">
        <f>COUNTIF($BF73:$BR73,"&gt;2,0")-SUM($BK87:BR87)</f>
        <v>0</v>
      </c>
      <c r="BK87" s="197">
        <f>COUNTIF($BF73:$BR73,"&gt;3,5")-SUM($BL87:BR87)</f>
        <v>0</v>
      </c>
      <c r="BL87" s="197">
        <f>COUNTIF($BF73:$BR73,"&gt;5,0")-SUM($BM87:BR87)</f>
        <v>2</v>
      </c>
      <c r="BM87" s="197">
        <f>COUNTIF($BF73:$BR73,"&gt;6,5")-SUM($BN87:BR87)</f>
        <v>4</v>
      </c>
      <c r="BN87" s="197">
        <f>COUNTIF($BF73:$BR73,"&gt;8,0")-SUM($BO87:BR87)</f>
        <v>1</v>
      </c>
      <c r="BO87" s="197">
        <f>COUNTIF($BF73:$BR73,"&gt;9,5")-SUM($BP87:BR87)</f>
        <v>2</v>
      </c>
      <c r="BP87" s="197">
        <f>COUNTIF($BF73:$BR73,"&gt;11,0")-SUM($BQ87:BR87)</f>
        <v>0</v>
      </c>
      <c r="BQ87" s="197">
        <f>COUNTIF($BF73:$BR73,"&gt;12,5")-SUM($BR87:BR87)</f>
        <v>0</v>
      </c>
      <c r="BR87" s="197">
        <f t="shared" ref="BR87:BR89" si="64">COUNTIF($BF73:$BR73,"&gt;14,0")</f>
        <v>0</v>
      </c>
      <c r="BS87" s="278"/>
    </row>
    <row r="88" spans="1:71" ht="14" thickBot="1">
      <c r="A88" s="279" t="str">
        <f t="shared" si="48"/>
        <v>Früh</v>
      </c>
      <c r="B88" s="198">
        <f>COUNTIF($B75:$BA75,"&gt;0")-SUM(C88:$L88)</f>
        <v>0</v>
      </c>
      <c r="C88" s="198">
        <f t="shared" si="52"/>
        <v>0</v>
      </c>
      <c r="D88" s="198">
        <f t="shared" ref="D88" si="65">COUNTIF($B75:$BA75,"&gt;2,0")-SUM(E88:L88)</f>
        <v>0</v>
      </c>
      <c r="E88" s="198">
        <f t="shared" ref="E88" si="66">COUNTIF($B75:$BA75,"&gt;3,5")-SUM(F88:L88)</f>
        <v>0</v>
      </c>
      <c r="F88" s="198">
        <f t="shared" ref="F88" si="67">COUNTIF($B75:$BA75,"&gt;5,0")-SUM(G88:L88)</f>
        <v>11</v>
      </c>
      <c r="G88" s="198">
        <f t="shared" ref="G88" si="68">COUNTIF($B75:$BA75,"&gt;6,5")-SUM(H88:L88)</f>
        <v>0</v>
      </c>
      <c r="H88" s="198">
        <f t="shared" ref="H88" si="69">COUNTIF($B75:$BA75,"&gt;8,0")-SUM(I88:L88)</f>
        <v>0</v>
      </c>
      <c r="I88" s="198">
        <f t="shared" ref="I88" si="70">COUNTIF($B75:$BA75,"&gt;9,5")-SUM(J88:L88)</f>
        <v>0</v>
      </c>
      <c r="J88" s="198">
        <f t="shared" ref="J88" si="71">COUNTIF($B75:$BA75,"&gt;11,0")-SUM(K88:L88)</f>
        <v>0</v>
      </c>
      <c r="K88" s="198">
        <f t="shared" si="60"/>
        <v>0</v>
      </c>
      <c r="L88" s="289">
        <f t="shared" si="61"/>
        <v>0</v>
      </c>
      <c r="M88" s="294">
        <f t="shared" ref="M88" si="72">SUM(B88:L88)</f>
        <v>11</v>
      </c>
      <c r="N88" s="196" t="str">
        <f>CONCATENATE("n=",SUM(O88:W88))</f>
        <v>n=128</v>
      </c>
      <c r="O88" s="231">
        <v>1</v>
      </c>
      <c r="P88" s="210">
        <v>7</v>
      </c>
      <c r="Q88" s="210">
        <v>21</v>
      </c>
      <c r="R88" s="220">
        <v>35</v>
      </c>
      <c r="S88" s="220">
        <v>35</v>
      </c>
      <c r="T88" s="210">
        <v>21</v>
      </c>
      <c r="U88" s="210">
        <v>7</v>
      </c>
      <c r="V88" s="218">
        <v>1</v>
      </c>
      <c r="W88" s="219"/>
      <c r="X88" s="263">
        <f>STDEV(O100:V134)</f>
        <v>33.201840381587424</v>
      </c>
      <c r="Y88" s="260"/>
      <c r="Z88" s="961">
        <f t="shared" si="49"/>
        <v>2.5385106683320755</v>
      </c>
      <c r="AS88" s="279" t="str">
        <f t="shared" si="50"/>
        <v>Nacht</v>
      </c>
      <c r="AT88" s="217">
        <f>COUNTIF($BF74:$BR74,"&gt;0")-SUM(AU88:$BD88)</f>
        <v>0</v>
      </c>
      <c r="AU88" s="217">
        <f>COUNTIF($BF74:$BR74,"&gt;0,5")-SUM(AV88:$BD88)</f>
        <v>0</v>
      </c>
      <c r="AV88" s="217">
        <f>COUNTIF($BF74:$BR74,"&gt;2,0")-SUM(AW88:$BD88)</f>
        <v>0</v>
      </c>
      <c r="AW88" s="217">
        <f>COUNTIF($BF74:$BR74,"&gt;3,5")-SUM(AX88:$BD88)</f>
        <v>0</v>
      </c>
      <c r="AX88" s="217">
        <f>COUNTIF($BF74:$BR74,"&gt;5,0")-SUM(AY88:$BD88)</f>
        <v>8</v>
      </c>
      <c r="AY88" s="217">
        <f>COUNTIF($BF74:$BR74,"&gt;6,5")-SUM(AZ88:$BD88)</f>
        <v>1</v>
      </c>
      <c r="AZ88" s="217">
        <f>COUNTIF($BF74:$BR74,"&gt;8,0")-SUM(BA88:$BD88)</f>
        <v>0</v>
      </c>
      <c r="BA88" s="217">
        <f>COUNTIF($BF74:$BR74,"&gt;9,5")-SUM(BB88:$BD88)</f>
        <v>0</v>
      </c>
      <c r="BB88" s="217">
        <f>COUNTIF($BF74:$BR74,"&gt;11,0")-SUM(BC88:$BD88)</f>
        <v>0</v>
      </c>
      <c r="BC88" s="217">
        <f>COUNTIF($BF74:$BR74,"&gt;12,5")-SUM(BD88:$BD88)</f>
        <v>0</v>
      </c>
      <c r="BD88" s="217">
        <f t="shared" si="63"/>
        <v>0</v>
      </c>
      <c r="BE88" s="278"/>
      <c r="BG88" s="279" t="str">
        <f t="shared" si="51"/>
        <v>Nacht</v>
      </c>
      <c r="BH88" s="197">
        <f>COUNTIF($BF74:$BR74,"&gt;0")-SUM($BI88:BR88)</f>
        <v>0</v>
      </c>
      <c r="BI88" s="197">
        <f>COUNTIF($BF74:$BR74,"&gt;0,5")-SUM($BJ88:BR88)</f>
        <v>0</v>
      </c>
      <c r="BJ88" s="197">
        <f>COUNTIF($BF74:$BR74,"&gt;2,0")-SUM($BK88:BR88)</f>
        <v>0</v>
      </c>
      <c r="BK88" s="197">
        <f>COUNTIF($BF74:$BR74,"&gt;3,5")-SUM($BL88:BR88)</f>
        <v>0</v>
      </c>
      <c r="BL88" s="197">
        <f>COUNTIF($BF74:$BR74,"&gt;5,0")-SUM($BM88:BR88)</f>
        <v>8</v>
      </c>
      <c r="BM88" s="197">
        <f>COUNTIF($BF74:$BR74,"&gt;6,5")-SUM($BN88:BR88)</f>
        <v>1</v>
      </c>
      <c r="BN88" s="197">
        <f>COUNTIF($BF74:$BR74,"&gt;8,0")-SUM($BO88:BR88)</f>
        <v>0</v>
      </c>
      <c r="BO88" s="197">
        <f>COUNTIF($BF74:$BR74,"&gt;9,5")-SUM($BP88:BR88)</f>
        <v>0</v>
      </c>
      <c r="BP88" s="197">
        <f>COUNTIF($BF74:$BR74,"&gt;11,0")-SUM($BQ88:BR88)</f>
        <v>0</v>
      </c>
      <c r="BQ88" s="197">
        <f>COUNTIF($BF74:$BR74,"&gt;12,5")-SUM($BR88:BR88)</f>
        <v>0</v>
      </c>
      <c r="BR88" s="197">
        <f t="shared" si="64"/>
        <v>0</v>
      </c>
      <c r="BS88" s="278"/>
    </row>
    <row r="89" spans="1:71" ht="17" thickBot="1">
      <c r="A89" s="330" t="s">
        <v>12</v>
      </c>
      <c r="B89" s="315">
        <f>B80+B82+B84</f>
        <v>0</v>
      </c>
      <c r="C89" s="315">
        <f t="shared" ref="C89:L89" si="73">C80+C82+C84</f>
        <v>0</v>
      </c>
      <c r="D89" s="315">
        <f t="shared" si="73"/>
        <v>0</v>
      </c>
      <c r="E89" s="315">
        <f t="shared" si="73"/>
        <v>5</v>
      </c>
      <c r="F89" s="315">
        <f t="shared" si="73"/>
        <v>18</v>
      </c>
      <c r="G89" s="317">
        <f t="shared" si="73"/>
        <v>9</v>
      </c>
      <c r="H89" s="316">
        <f t="shared" si="73"/>
        <v>11</v>
      </c>
      <c r="I89" s="316">
        <f t="shared" si="73"/>
        <v>1</v>
      </c>
      <c r="J89" s="316">
        <f t="shared" si="73"/>
        <v>0</v>
      </c>
      <c r="K89" s="316">
        <f t="shared" si="73"/>
        <v>0</v>
      </c>
      <c r="L89" s="5">
        <f t="shared" si="73"/>
        <v>0</v>
      </c>
      <c r="M89" s="318">
        <f>SUM(B89:L89)</f>
        <v>44</v>
      </c>
      <c r="N89" s="196" t="str">
        <f>CONCATENATE("n=",SUM(O89:W89))</f>
        <v>n=256</v>
      </c>
      <c r="O89" s="234">
        <v>1</v>
      </c>
      <c r="P89" s="225">
        <v>8</v>
      </c>
      <c r="Q89" s="225">
        <v>28</v>
      </c>
      <c r="R89" s="225">
        <v>56</v>
      </c>
      <c r="S89" s="226">
        <v>70</v>
      </c>
      <c r="T89" s="225">
        <v>56</v>
      </c>
      <c r="U89" s="225">
        <v>28</v>
      </c>
      <c r="V89" s="227">
        <v>8</v>
      </c>
      <c r="W89" s="227">
        <v>1</v>
      </c>
      <c r="X89" s="228"/>
      <c r="Y89" s="260"/>
      <c r="Z89" s="260"/>
      <c r="AS89" s="279" t="str">
        <f t="shared" si="50"/>
        <v>Früh</v>
      </c>
      <c r="AT89" s="198">
        <f>COUNTIF($BF75:$BR75,"&gt;0")-SUM(AU89:$BD89)</f>
        <v>0</v>
      </c>
      <c r="AU89" s="198">
        <f>COUNTIF($BF75:$BR75,"&gt;0,5")-SUM(AV89:$BD89)</f>
        <v>0</v>
      </c>
      <c r="AV89" s="198">
        <f>COUNTIF($BF75:$BR75,"&gt;2,0")-SUM(AW89:$BD89)</f>
        <v>0</v>
      </c>
      <c r="AW89" s="198">
        <f>COUNTIF($BF75:$BR75,"&gt;3,5")-SUM(AX89:$BD89)</f>
        <v>0</v>
      </c>
      <c r="AX89" s="198">
        <f>COUNTIF($BF75:$BR75,"&gt;5,0")-SUM(AY89:$BD89)</f>
        <v>6</v>
      </c>
      <c r="AY89" s="198">
        <f>COUNTIF($BF75:$BR75,"&gt;6,5")-SUM(AZ89:$BD89)</f>
        <v>0</v>
      </c>
      <c r="AZ89" s="198">
        <f>COUNTIF($BF75:$BR75,"&gt;8,0")-SUM(BA89:$BD89)</f>
        <v>0</v>
      </c>
      <c r="BA89" s="198">
        <f>COUNTIF($BF75:$BR75,"&gt;9,5")-SUM(BB89:$BD89)</f>
        <v>0</v>
      </c>
      <c r="BB89" s="198">
        <f>COUNTIF($BF75:$BR75,"&gt;11,0")-SUM(BC89:$BD89)</f>
        <v>0</v>
      </c>
      <c r="BC89" s="198">
        <f>COUNTIF($BF75:$BR75,"&gt;12,5")-SUM(BD89:$BD89)</f>
        <v>0</v>
      </c>
      <c r="BD89" s="198">
        <f t="shared" si="63"/>
        <v>0</v>
      </c>
      <c r="BE89" s="298" t="s">
        <v>40</v>
      </c>
      <c r="BG89" s="279" t="str">
        <f t="shared" si="51"/>
        <v>Früh</v>
      </c>
      <c r="BH89" s="197">
        <f>COUNTIF($BF75:$BR75,"&gt;0")-SUM($BI89:BR89)</f>
        <v>0</v>
      </c>
      <c r="BI89" s="197">
        <f>COUNTIF($BF75:$BR75,"&gt;0,5")-SUM($BJ89:BR89)</f>
        <v>0</v>
      </c>
      <c r="BJ89" s="197">
        <f>COUNTIF($BF75:$BR75,"&gt;2,0")-SUM($BK89:BR89)</f>
        <v>0</v>
      </c>
      <c r="BK89" s="197">
        <f>COUNTIF($BF75:$BR75,"&gt;3,5")-SUM($BL89:BR89)</f>
        <v>0</v>
      </c>
      <c r="BL89" s="197">
        <f>COUNTIF($BF75:$BR75,"&gt;5,0")-SUM($BM89:BR89)</f>
        <v>6</v>
      </c>
      <c r="BM89" s="197">
        <f>COUNTIF($BF75:$BR75,"&gt;6,5")-SUM($BN89:BR89)</f>
        <v>0</v>
      </c>
      <c r="BN89" s="197">
        <f>COUNTIF($BF75:$BR75,"&gt;8,0")-SUM($BO89:BR89)</f>
        <v>0</v>
      </c>
      <c r="BO89" s="197">
        <f>COUNTIF($BF75:$BR75,"&gt;9,5")-SUM($BP89:BR89)</f>
        <v>0</v>
      </c>
      <c r="BP89" s="197">
        <f>COUNTIF($BF75:$BR75,"&gt;11,0")-SUM($BQ89:BR89)</f>
        <v>0</v>
      </c>
      <c r="BQ89" s="197">
        <f>COUNTIF($BF75:$BR75,"&gt;12,5")-SUM($BR89:BR89)</f>
        <v>0</v>
      </c>
      <c r="BR89" s="197">
        <f t="shared" si="64"/>
        <v>0</v>
      </c>
      <c r="BS89" s="298" t="s">
        <v>40</v>
      </c>
    </row>
    <row r="90" spans="1:71">
      <c r="A90" s="330" t="s">
        <v>13</v>
      </c>
      <c r="B90" s="315">
        <f>B81+B83+B85</f>
        <v>0</v>
      </c>
      <c r="C90" s="315">
        <f t="shared" ref="C90:L90" si="74">C81+C83+C85</f>
        <v>0</v>
      </c>
      <c r="D90" s="315">
        <f t="shared" si="74"/>
        <v>0</v>
      </c>
      <c r="E90" s="315">
        <f t="shared" si="74"/>
        <v>1</v>
      </c>
      <c r="F90" s="315">
        <f t="shared" si="74"/>
        <v>9</v>
      </c>
      <c r="G90" s="317">
        <f>G81+G83+G85</f>
        <v>5</v>
      </c>
      <c r="H90" s="316">
        <f t="shared" si="74"/>
        <v>7</v>
      </c>
      <c r="I90" s="316">
        <f t="shared" si="74"/>
        <v>14</v>
      </c>
      <c r="J90" s="316">
        <f t="shared" si="74"/>
        <v>3</v>
      </c>
      <c r="K90" s="316">
        <f t="shared" si="74"/>
        <v>0</v>
      </c>
      <c r="L90" s="5">
        <f t="shared" si="74"/>
        <v>0</v>
      </c>
      <c r="M90" s="318">
        <f t="shared" ref="M90:M94" si="75">SUM(B90:L90)</f>
        <v>39</v>
      </c>
      <c r="N90" s="196"/>
      <c r="AS90" s="328" t="s">
        <v>14</v>
      </c>
      <c r="AT90" s="321">
        <f>AT81+AT83+AT85</f>
        <v>0</v>
      </c>
      <c r="AU90" s="320">
        <f t="shared" ref="AU90:BD90" si="76">AU81+AU83+AU85</f>
        <v>0</v>
      </c>
      <c r="AV90" s="320">
        <f t="shared" si="76"/>
        <v>0</v>
      </c>
      <c r="AW90" s="320">
        <f t="shared" si="76"/>
        <v>3</v>
      </c>
      <c r="AX90" s="320">
        <f t="shared" si="76"/>
        <v>13</v>
      </c>
      <c r="AY90" s="321">
        <f t="shared" si="76"/>
        <v>5</v>
      </c>
      <c r="AZ90" s="322">
        <f t="shared" si="76"/>
        <v>7</v>
      </c>
      <c r="BA90" s="322">
        <f t="shared" si="76"/>
        <v>1</v>
      </c>
      <c r="BB90" s="322">
        <f t="shared" si="76"/>
        <v>0</v>
      </c>
      <c r="BC90" s="322">
        <f t="shared" si="76"/>
        <v>0</v>
      </c>
      <c r="BD90" s="323">
        <f t="shared" si="76"/>
        <v>0</v>
      </c>
      <c r="BE90" s="319">
        <f>SUM(AT90:BD90)</f>
        <v>29</v>
      </c>
      <c r="BG90" s="328" t="s">
        <v>115</v>
      </c>
      <c r="BH90" s="321">
        <f>SUM(BH81:BH89)</f>
        <v>0</v>
      </c>
      <c r="BI90" s="321">
        <f t="shared" ref="BI90:BR90" si="77">SUM(BI81:BI89)</f>
        <v>0</v>
      </c>
      <c r="BJ90" s="321">
        <f t="shared" si="77"/>
        <v>0</v>
      </c>
      <c r="BK90" s="321">
        <f t="shared" si="77"/>
        <v>3</v>
      </c>
      <c r="BL90" s="321">
        <f t="shared" si="77"/>
        <v>29</v>
      </c>
      <c r="BM90" s="321">
        <f t="shared" si="77"/>
        <v>10</v>
      </c>
      <c r="BN90" s="321">
        <f t="shared" si="77"/>
        <v>8</v>
      </c>
      <c r="BO90" s="321">
        <f t="shared" si="77"/>
        <v>3</v>
      </c>
      <c r="BP90" s="321">
        <f t="shared" si="77"/>
        <v>0</v>
      </c>
      <c r="BQ90" s="321">
        <f t="shared" si="77"/>
        <v>0</v>
      </c>
      <c r="BR90" s="321">
        <f t="shared" si="77"/>
        <v>0</v>
      </c>
      <c r="BS90" s="319">
        <f>SUM(BH90:BR90)</f>
        <v>53</v>
      </c>
    </row>
    <row r="91" spans="1:71" ht="14" thickBot="1">
      <c r="A91" s="273" t="s">
        <v>11</v>
      </c>
      <c r="B91" s="199">
        <f>SUM(B80:B88)</f>
        <v>0</v>
      </c>
      <c r="C91" s="199">
        <f t="shared" ref="C91:L91" si="78">SUM(C80:C88)</f>
        <v>0</v>
      </c>
      <c r="D91" s="199">
        <f t="shared" si="78"/>
        <v>0</v>
      </c>
      <c r="E91" s="199">
        <f t="shared" si="78"/>
        <v>6</v>
      </c>
      <c r="F91" s="199">
        <f t="shared" si="78"/>
        <v>53</v>
      </c>
      <c r="G91" s="199">
        <f t="shared" si="78"/>
        <v>22</v>
      </c>
      <c r="H91" s="199">
        <f t="shared" si="78"/>
        <v>20</v>
      </c>
      <c r="I91" s="199">
        <f t="shared" si="78"/>
        <v>18</v>
      </c>
      <c r="J91" s="199">
        <f t="shared" si="78"/>
        <v>3</v>
      </c>
      <c r="K91" s="199">
        <f t="shared" si="78"/>
        <v>0</v>
      </c>
      <c r="L91" s="199">
        <f t="shared" si="78"/>
        <v>0</v>
      </c>
      <c r="M91" s="295">
        <f t="shared" si="75"/>
        <v>122</v>
      </c>
      <c r="N91" s="196"/>
      <c r="AS91" s="329" t="s">
        <v>15</v>
      </c>
      <c r="AT91" s="325">
        <f>AT82+AT84+AT86</f>
        <v>0</v>
      </c>
      <c r="AU91" s="324">
        <f t="shared" ref="AU91:BD91" si="79">AU82+AU84+AU86</f>
        <v>0</v>
      </c>
      <c r="AV91" s="324">
        <f t="shared" si="79"/>
        <v>0</v>
      </c>
      <c r="AW91" s="324">
        <f t="shared" si="79"/>
        <v>1</v>
      </c>
      <c r="AX91" s="324">
        <f t="shared" si="79"/>
        <v>6</v>
      </c>
      <c r="AY91" s="325">
        <f t="shared" si="79"/>
        <v>4</v>
      </c>
      <c r="AZ91" s="326">
        <f t="shared" si="79"/>
        <v>5</v>
      </c>
      <c r="BA91" s="326">
        <f t="shared" si="79"/>
        <v>8</v>
      </c>
      <c r="BB91" s="326">
        <f t="shared" si="79"/>
        <v>2</v>
      </c>
      <c r="BC91" s="326">
        <f t="shared" si="79"/>
        <v>0</v>
      </c>
      <c r="BD91" s="327">
        <f t="shared" si="79"/>
        <v>0</v>
      </c>
      <c r="BE91" s="319">
        <f>SUM(AT91:BD91)</f>
        <v>26</v>
      </c>
      <c r="BG91" s="329"/>
      <c r="BH91" s="325"/>
      <c r="BI91" s="324"/>
      <c r="BJ91" s="324"/>
      <c r="BK91" s="324"/>
      <c r="BL91" s="324"/>
      <c r="BM91" s="325"/>
      <c r="BN91" s="326"/>
      <c r="BO91" s="326"/>
      <c r="BP91" s="326"/>
      <c r="BQ91" s="326"/>
      <c r="BR91" s="327"/>
      <c r="BS91" s="319"/>
    </row>
    <row r="92" spans="1:71" ht="16">
      <c r="A92" s="284" t="s">
        <v>194</v>
      </c>
      <c r="B92" s="203"/>
      <c r="C92" s="203">
        <v>1</v>
      </c>
      <c r="D92" s="203">
        <v>7</v>
      </c>
      <c r="E92" s="203">
        <v>21</v>
      </c>
      <c r="F92" s="203">
        <v>35</v>
      </c>
      <c r="G92" s="203">
        <v>35</v>
      </c>
      <c r="H92" s="203">
        <v>21</v>
      </c>
      <c r="I92" s="203">
        <v>7</v>
      </c>
      <c r="J92" s="203">
        <v>1</v>
      </c>
      <c r="K92" s="203"/>
      <c r="L92" s="290"/>
      <c r="M92" s="296">
        <f>SUM(B92:L92)</f>
        <v>128</v>
      </c>
      <c r="AS92" s="273" t="s">
        <v>11</v>
      </c>
      <c r="AT92" s="199">
        <f>SUM(AT81:AT89)+AU100</f>
        <v>0</v>
      </c>
      <c r="AU92" s="199">
        <f t="shared" ref="AU92:BD92" si="80">SUM(AU81:AU89)</f>
        <v>0</v>
      </c>
      <c r="AV92" s="199">
        <f t="shared" si="80"/>
        <v>0</v>
      </c>
      <c r="AW92" s="199">
        <f t="shared" si="80"/>
        <v>4</v>
      </c>
      <c r="AX92" s="199">
        <f t="shared" si="80"/>
        <v>35</v>
      </c>
      <c r="AY92" s="199">
        <f t="shared" si="80"/>
        <v>14</v>
      </c>
      <c r="AZ92" s="199">
        <f t="shared" si="80"/>
        <v>13</v>
      </c>
      <c r="BA92" s="199">
        <f t="shared" si="80"/>
        <v>11</v>
      </c>
      <c r="BB92" s="199">
        <f t="shared" si="80"/>
        <v>2</v>
      </c>
      <c r="BC92" s="199">
        <f t="shared" si="80"/>
        <v>0</v>
      </c>
      <c r="BD92" s="199">
        <f t="shared" si="80"/>
        <v>0</v>
      </c>
      <c r="BE92" s="280">
        <f>SUM(AT92:BD92)</f>
        <v>79</v>
      </c>
      <c r="BG92" s="273" t="s">
        <v>11</v>
      </c>
      <c r="BH92" s="199">
        <f>SUM(BH81:BH89)</f>
        <v>0</v>
      </c>
      <c r="BI92" s="199">
        <f t="shared" ref="BI92:BR92" si="81">SUM(BI81:BI89)</f>
        <v>0</v>
      </c>
      <c r="BJ92" s="199">
        <f t="shared" si="81"/>
        <v>0</v>
      </c>
      <c r="BK92" s="199">
        <f t="shared" si="81"/>
        <v>3</v>
      </c>
      <c r="BL92" s="199">
        <f t="shared" si="81"/>
        <v>29</v>
      </c>
      <c r="BM92" s="199">
        <f t="shared" si="81"/>
        <v>10</v>
      </c>
      <c r="BN92" s="199">
        <f t="shared" si="81"/>
        <v>8</v>
      </c>
      <c r="BO92" s="199">
        <f t="shared" si="81"/>
        <v>3</v>
      </c>
      <c r="BP92" s="199">
        <f t="shared" si="81"/>
        <v>0</v>
      </c>
      <c r="BQ92" s="199">
        <f t="shared" si="81"/>
        <v>0</v>
      </c>
      <c r="BR92" s="199">
        <f t="shared" si="81"/>
        <v>0</v>
      </c>
      <c r="BS92" s="280">
        <f>SUM(BH92:BR92)</f>
        <v>53</v>
      </c>
    </row>
    <row r="93" spans="1:71">
      <c r="A93" s="284" t="s">
        <v>195</v>
      </c>
      <c r="B93" s="203"/>
      <c r="C93" s="203"/>
      <c r="D93" s="203">
        <v>1</v>
      </c>
      <c r="E93" s="203">
        <v>7</v>
      </c>
      <c r="F93" s="203">
        <v>21</v>
      </c>
      <c r="G93" s="203">
        <v>35</v>
      </c>
      <c r="H93" s="203">
        <v>35</v>
      </c>
      <c r="I93" s="203">
        <v>21</v>
      </c>
      <c r="J93" s="203">
        <v>7</v>
      </c>
      <c r="K93" s="203">
        <v>1</v>
      </c>
      <c r="L93" s="290"/>
      <c r="M93" s="297">
        <f t="shared" si="75"/>
        <v>128</v>
      </c>
      <c r="AS93" s="273" t="s">
        <v>63</v>
      </c>
      <c r="AT93" s="203">
        <v>1</v>
      </c>
      <c r="AU93" s="203">
        <v>6</v>
      </c>
      <c r="AV93" s="203">
        <v>15</v>
      </c>
      <c r="AW93" s="203">
        <v>20</v>
      </c>
      <c r="AX93" s="203">
        <v>15</v>
      </c>
      <c r="AY93" s="203">
        <v>6</v>
      </c>
      <c r="AZ93" s="203">
        <v>1</v>
      </c>
      <c r="BA93" s="203"/>
      <c r="BB93" s="203"/>
      <c r="BC93" s="203"/>
      <c r="BD93" s="203"/>
      <c r="BE93" s="278"/>
      <c r="BG93" s="273" t="s">
        <v>63</v>
      </c>
      <c r="BH93" s="203"/>
      <c r="BI93" s="203">
        <v>1</v>
      </c>
      <c r="BJ93" s="203">
        <v>6</v>
      </c>
      <c r="BK93" s="203">
        <v>15</v>
      </c>
      <c r="BL93" s="203">
        <v>20</v>
      </c>
      <c r="BM93" s="203">
        <v>15</v>
      </c>
      <c r="BN93" s="203">
        <v>6</v>
      </c>
      <c r="BO93" s="203">
        <v>1</v>
      </c>
      <c r="BP93" s="203"/>
      <c r="BQ93" s="203"/>
      <c r="BR93" s="203"/>
      <c r="BS93" s="278"/>
    </row>
    <row r="94" spans="1:71" ht="14" thickBot="1">
      <c r="A94" s="512" t="s">
        <v>113</v>
      </c>
      <c r="B94" s="514">
        <f>B89+B87+B88</f>
        <v>0</v>
      </c>
      <c r="C94" s="514">
        <f t="shared" ref="C94:L94" si="82">C89+C87+C88</f>
        <v>0</v>
      </c>
      <c r="D94" s="514">
        <f t="shared" si="82"/>
        <v>0</v>
      </c>
      <c r="E94" s="514">
        <f t="shared" si="82"/>
        <v>5</v>
      </c>
      <c r="F94" s="514">
        <f t="shared" si="82"/>
        <v>41</v>
      </c>
      <c r="G94" s="514">
        <f t="shared" si="82"/>
        <v>11</v>
      </c>
      <c r="H94" s="514">
        <f t="shared" si="82"/>
        <v>11</v>
      </c>
      <c r="I94" s="514">
        <f t="shared" si="82"/>
        <v>1</v>
      </c>
      <c r="J94" s="514">
        <f t="shared" si="82"/>
        <v>0</v>
      </c>
      <c r="K94" s="514">
        <f t="shared" si="82"/>
        <v>0</v>
      </c>
      <c r="L94" s="514">
        <f t="shared" si="82"/>
        <v>0</v>
      </c>
      <c r="M94" s="513">
        <f t="shared" si="75"/>
        <v>69</v>
      </c>
      <c r="AS94" s="273" t="s">
        <v>62</v>
      </c>
      <c r="AT94" s="203"/>
      <c r="AU94" s="203"/>
      <c r="AV94" s="203">
        <v>1</v>
      </c>
      <c r="AW94" s="203">
        <v>6</v>
      </c>
      <c r="AX94" s="203">
        <v>15</v>
      </c>
      <c r="AY94" s="203">
        <v>20</v>
      </c>
      <c r="AZ94" s="203">
        <v>15</v>
      </c>
      <c r="BA94" s="203">
        <v>6</v>
      </c>
      <c r="BB94" s="203">
        <v>1</v>
      </c>
      <c r="BC94" s="203"/>
      <c r="BD94" s="203"/>
      <c r="BE94" s="278"/>
      <c r="BG94" s="515"/>
      <c r="BH94" s="516"/>
      <c r="BI94" s="516"/>
      <c r="BJ94" s="516"/>
      <c r="BK94" s="516"/>
      <c r="BL94" s="516"/>
      <c r="BM94" s="516"/>
      <c r="BN94" s="516"/>
      <c r="BO94" s="516"/>
      <c r="BP94" s="516"/>
      <c r="BQ94" s="516"/>
      <c r="BR94" s="516"/>
      <c r="BS94" s="278"/>
    </row>
    <row r="95" spans="1:71">
      <c r="A95" s="331" t="s">
        <v>49</v>
      </c>
      <c r="AS95" s="273" t="s">
        <v>61</v>
      </c>
      <c r="AT95" s="203"/>
      <c r="AU95" s="203">
        <v>1</v>
      </c>
      <c r="AV95" s="203">
        <v>7</v>
      </c>
      <c r="AW95" s="203">
        <v>21</v>
      </c>
      <c r="AX95" s="203">
        <v>35</v>
      </c>
      <c r="AY95" s="203">
        <v>35</v>
      </c>
      <c r="AZ95" s="203">
        <v>21</v>
      </c>
      <c r="BA95" s="203">
        <v>7</v>
      </c>
      <c r="BB95" s="203">
        <v>1</v>
      </c>
      <c r="BC95" s="203"/>
      <c r="BD95" s="203"/>
      <c r="BE95" s="278"/>
      <c r="BF95">
        <f>STDEV(AU99:BB135)</f>
        <v>28.612787155134797</v>
      </c>
      <c r="BG95" s="515"/>
      <c r="BH95" s="516"/>
      <c r="BI95" s="516"/>
      <c r="BJ95" s="516"/>
      <c r="BK95" s="516"/>
      <c r="BL95" s="516"/>
      <c r="BM95" s="516"/>
      <c r="BN95" s="516"/>
      <c r="BO95" s="516"/>
      <c r="BP95" s="516"/>
      <c r="BQ95" s="516"/>
      <c r="BR95" s="516"/>
      <c r="BS95" s="278"/>
    </row>
    <row r="96" spans="1:71" ht="14" thickBot="1">
      <c r="A96" s="380" t="s">
        <v>82</v>
      </c>
      <c r="B96" s="332" t="str">
        <f t="shared" ref="B96:L96" si="83">IF(AT95*2+B92+B93=0,"",AT95*2+B92+B93)</f>
        <v/>
      </c>
      <c r="C96" s="332">
        <f t="shared" si="83"/>
        <v>3</v>
      </c>
      <c r="D96" s="332">
        <f t="shared" si="83"/>
        <v>22</v>
      </c>
      <c r="E96" s="332">
        <f t="shared" si="83"/>
        <v>70</v>
      </c>
      <c r="F96" s="332">
        <f>IF(AX95*2+F92+F93=0,"",AX95*2+F92+F93)</f>
        <v>126</v>
      </c>
      <c r="G96" s="332">
        <f t="shared" si="83"/>
        <v>140</v>
      </c>
      <c r="H96" s="332">
        <f t="shared" si="83"/>
        <v>98</v>
      </c>
      <c r="I96" s="332">
        <f t="shared" si="83"/>
        <v>42</v>
      </c>
      <c r="J96" s="332">
        <f t="shared" si="83"/>
        <v>10</v>
      </c>
      <c r="K96" s="332">
        <f t="shared" si="83"/>
        <v>1</v>
      </c>
      <c r="L96" s="332" t="str">
        <f t="shared" si="83"/>
        <v/>
      </c>
      <c r="AS96" s="281"/>
      <c r="AT96" s="282"/>
      <c r="AU96" s="282"/>
      <c r="AV96" s="282"/>
      <c r="AW96" s="282"/>
      <c r="AX96" s="282"/>
      <c r="AY96" s="282"/>
      <c r="AZ96" s="282"/>
      <c r="BA96" s="282"/>
      <c r="BB96" s="282"/>
      <c r="BC96" s="282"/>
      <c r="BD96" s="282"/>
      <c r="BE96" s="283"/>
      <c r="BG96" s="281"/>
      <c r="BH96" s="282"/>
      <c r="BI96" s="282"/>
      <c r="BJ96" s="282"/>
      <c r="BK96" s="282"/>
      <c r="BL96" s="282"/>
      <c r="BM96" s="282"/>
      <c r="BN96" s="282"/>
      <c r="BO96" s="282"/>
      <c r="BP96" s="282"/>
      <c r="BQ96" s="282"/>
      <c r="BR96" s="282"/>
      <c r="BS96" s="283"/>
    </row>
    <row r="99" spans="3:71">
      <c r="AU99" s="2">
        <v>50</v>
      </c>
      <c r="AV99" s="2">
        <v>70</v>
      </c>
      <c r="AW99" s="2">
        <v>90</v>
      </c>
      <c r="AX99" s="2">
        <v>110</v>
      </c>
      <c r="AY99" s="2">
        <v>130</v>
      </c>
      <c r="AZ99">
        <v>150</v>
      </c>
      <c r="BA99">
        <v>170</v>
      </c>
      <c r="BB99">
        <v>190</v>
      </c>
    </row>
    <row r="100" spans="3:71">
      <c r="C100">
        <f>95/2</f>
        <v>47.5</v>
      </c>
      <c r="D100">
        <f t="shared" ref="D100:D105" si="84">145/2</f>
        <v>72.5</v>
      </c>
      <c r="E100">
        <f>195/2</f>
        <v>97.5</v>
      </c>
      <c r="F100">
        <f>245/2</f>
        <v>122.5</v>
      </c>
      <c r="G100">
        <f>295/2</f>
        <v>147.5</v>
      </c>
      <c r="H100">
        <f t="shared" ref="H100:H105" si="85">345/2</f>
        <v>172.5</v>
      </c>
      <c r="I100">
        <f>395/2</f>
        <v>197.5</v>
      </c>
      <c r="L100">
        <f>AVERAGE(C100:I119)</f>
        <v>122.5</v>
      </c>
      <c r="O100" s="520">
        <f>95/2</f>
        <v>47.5</v>
      </c>
      <c r="P100" s="520">
        <f t="shared" ref="P100:P106" si="86">145/2</f>
        <v>72.5</v>
      </c>
      <c r="Q100" s="520">
        <f>195/2</f>
        <v>97.5</v>
      </c>
      <c r="R100" s="983">
        <f>245/2</f>
        <v>122.5</v>
      </c>
      <c r="S100" s="520">
        <f>295/2</f>
        <v>147.5</v>
      </c>
      <c r="T100" s="520">
        <f t="shared" ref="T100:T120" si="87">345/2</f>
        <v>172.5</v>
      </c>
      <c r="U100" s="520">
        <f>395/2</f>
        <v>197.5</v>
      </c>
      <c r="V100">
        <v>222.5</v>
      </c>
      <c r="AU100" s="2"/>
      <c r="AV100" s="2">
        <v>70</v>
      </c>
      <c r="AW100" s="2">
        <v>90</v>
      </c>
      <c r="AX100" s="2">
        <v>110</v>
      </c>
      <c r="AY100" s="2">
        <v>130</v>
      </c>
      <c r="AZ100">
        <v>150</v>
      </c>
      <c r="BA100">
        <v>170</v>
      </c>
      <c r="BF100" s="308">
        <f>BF41</f>
        <v>41274</v>
      </c>
      <c r="BG100" s="308">
        <f t="shared" ref="BG100:BR100" si="88">BG41</f>
        <v>41277.5</v>
      </c>
      <c r="BH100" s="308">
        <f t="shared" si="88"/>
        <v>41281</v>
      </c>
      <c r="BI100" s="308">
        <f t="shared" si="88"/>
        <v>41284.5</v>
      </c>
      <c r="BJ100" s="308">
        <f t="shared" si="88"/>
        <v>41288</v>
      </c>
      <c r="BK100" s="308">
        <f t="shared" si="88"/>
        <v>41291.5</v>
      </c>
      <c r="BL100" s="308">
        <f t="shared" si="88"/>
        <v>41295</v>
      </c>
      <c r="BM100" s="308">
        <f t="shared" si="88"/>
        <v>41298.5</v>
      </c>
      <c r="BN100" s="308">
        <f t="shared" si="88"/>
        <v>41302</v>
      </c>
      <c r="BO100" s="308">
        <f t="shared" si="88"/>
        <v>41305.5</v>
      </c>
      <c r="BP100" s="308">
        <f t="shared" si="88"/>
        <v>41312.5</v>
      </c>
      <c r="BQ100" s="308">
        <f t="shared" si="88"/>
        <v>41319.5</v>
      </c>
      <c r="BR100" s="308">
        <f t="shared" si="88"/>
        <v>41326.5</v>
      </c>
    </row>
    <row r="101" spans="3:71">
      <c r="D101">
        <f t="shared" si="84"/>
        <v>72.5</v>
      </c>
      <c r="E101">
        <f t="shared" ref="E101:E114" si="89">195/2</f>
        <v>97.5</v>
      </c>
      <c r="F101">
        <f t="shared" ref="F101:F119" si="90">245/2</f>
        <v>122.5</v>
      </c>
      <c r="G101">
        <f t="shared" ref="G101:G114" si="91">295/2</f>
        <v>147.5</v>
      </c>
      <c r="H101">
        <f t="shared" si="85"/>
        <v>172.5</v>
      </c>
      <c r="L101" s="420">
        <f>STDEV(C100:I119)</f>
        <v>30.860669992418384</v>
      </c>
      <c r="O101" s="520"/>
      <c r="P101" s="520">
        <f t="shared" si="86"/>
        <v>72.5</v>
      </c>
      <c r="Q101" s="520">
        <f t="shared" ref="Q101:Q120" si="92">195/2</f>
        <v>97.5</v>
      </c>
      <c r="R101" s="983">
        <f t="shared" ref="R101:R134" si="93">245/2</f>
        <v>122.5</v>
      </c>
      <c r="S101" s="520">
        <f t="shared" ref="S101:S134" si="94">295/2</f>
        <v>147.5</v>
      </c>
      <c r="T101" s="520">
        <f t="shared" si="87"/>
        <v>172.5</v>
      </c>
      <c r="U101" s="520">
        <f t="shared" ref="U101:U106" si="95">395/2</f>
        <v>197.5</v>
      </c>
      <c r="AU101" s="2"/>
      <c r="AV101" s="2">
        <v>70</v>
      </c>
      <c r="AW101" s="2">
        <v>90</v>
      </c>
      <c r="AX101" s="2">
        <v>110</v>
      </c>
      <c r="AY101" s="2">
        <v>130</v>
      </c>
      <c r="AZ101">
        <v>150</v>
      </c>
      <c r="BA101">
        <v>170</v>
      </c>
      <c r="BE101" s="3">
        <f>BE67</f>
        <v>0.29166666666666669</v>
      </c>
      <c r="BF101" s="1074">
        <f>BF4</f>
        <v>6.2777777777777777</v>
      </c>
      <c r="BG101" s="1074">
        <f t="shared" ref="BG101:BR101" si="96">BG4</f>
        <v>6.2222222222222223</v>
      </c>
      <c r="BH101" s="1074">
        <f t="shared" si="96"/>
        <v>6.2</v>
      </c>
      <c r="BI101" s="1074">
        <f t="shared" si="96"/>
        <v>6.1</v>
      </c>
      <c r="BJ101" s="1074">
        <f t="shared" si="96"/>
        <v>6</v>
      </c>
      <c r="BK101" s="1074">
        <f t="shared" si="96"/>
        <v>6.2</v>
      </c>
      <c r="BL101" s="1074">
        <f t="shared" si="96"/>
        <v>6</v>
      </c>
      <c r="BM101" s="1074">
        <f t="shared" si="96"/>
        <v>6.2</v>
      </c>
      <c r="BN101" s="1074">
        <f t="shared" si="96"/>
        <v>6.2</v>
      </c>
      <c r="BO101" s="1074">
        <f t="shared" si="96"/>
        <v>5.9</v>
      </c>
      <c r="BP101" s="1074">
        <f t="shared" si="96"/>
        <v>5.9859932659932724</v>
      </c>
      <c r="BQ101" s="1074">
        <f t="shared" si="96"/>
        <v>5.9416835016834852</v>
      </c>
      <c r="BR101" s="1074">
        <f t="shared" si="96"/>
        <v>5.8973737373736981</v>
      </c>
      <c r="BS101" s="420"/>
    </row>
    <row r="102" spans="3:71">
      <c r="D102">
        <f t="shared" si="84"/>
        <v>72.5</v>
      </c>
      <c r="E102">
        <f t="shared" si="89"/>
        <v>97.5</v>
      </c>
      <c r="F102">
        <f t="shared" si="90"/>
        <v>122.5</v>
      </c>
      <c r="G102">
        <f t="shared" si="91"/>
        <v>147.5</v>
      </c>
      <c r="H102">
        <f t="shared" si="85"/>
        <v>172.5</v>
      </c>
      <c r="O102" s="520"/>
      <c r="P102" s="520">
        <f t="shared" si="86"/>
        <v>72.5</v>
      </c>
      <c r="Q102" s="520">
        <f t="shared" si="92"/>
        <v>97.5</v>
      </c>
      <c r="R102" s="983">
        <f t="shared" si="93"/>
        <v>122.5</v>
      </c>
      <c r="S102" s="520">
        <f t="shared" si="94"/>
        <v>147.5</v>
      </c>
      <c r="T102" s="520">
        <f t="shared" si="87"/>
        <v>172.5</v>
      </c>
      <c r="U102" s="520">
        <f t="shared" si="95"/>
        <v>197.5</v>
      </c>
      <c r="AU102" s="2"/>
      <c r="AV102" s="2">
        <v>70</v>
      </c>
      <c r="AW102" s="2">
        <v>90</v>
      </c>
      <c r="AX102" s="2">
        <v>110</v>
      </c>
      <c r="AY102" s="2">
        <v>130</v>
      </c>
      <c r="AZ102">
        <v>150</v>
      </c>
      <c r="BA102">
        <v>170</v>
      </c>
      <c r="BE102" s="3">
        <f>BE69</f>
        <v>0.5</v>
      </c>
      <c r="BF102" s="1074">
        <f>BF6</f>
        <v>8.0555555555555554</v>
      </c>
      <c r="BG102" s="1074">
        <f t="shared" ref="BG102:BR102" si="97">BG6</f>
        <v>6.7777777777777777</v>
      </c>
      <c r="BH102" s="1074">
        <f t="shared" si="97"/>
        <v>4.8</v>
      </c>
      <c r="BI102" s="1074">
        <f t="shared" si="97"/>
        <v>6.8</v>
      </c>
      <c r="BJ102" s="1074">
        <f t="shared" si="97"/>
        <v>10.3</v>
      </c>
      <c r="BK102" s="1074">
        <f t="shared" si="97"/>
        <v>8.1999999999999993</v>
      </c>
      <c r="BL102" s="1074">
        <f t="shared" si="97"/>
        <v>8.6999999999999993</v>
      </c>
      <c r="BM102" s="1074">
        <f t="shared" si="97"/>
        <v>6</v>
      </c>
      <c r="BN102" s="1074">
        <f t="shared" si="97"/>
        <v>7.35</v>
      </c>
      <c r="BO102" s="1074">
        <f t="shared" si="97"/>
        <v>7.4</v>
      </c>
      <c r="BP102" s="1074">
        <f t="shared" si="97"/>
        <v>7.7418855218854787</v>
      </c>
      <c r="BQ102" s="1074">
        <f t="shared" si="97"/>
        <v>7.835286195286244</v>
      </c>
      <c r="BR102" s="1074">
        <f t="shared" si="97"/>
        <v>7.9286868686868957</v>
      </c>
      <c r="BS102" s="420"/>
    </row>
    <row r="103" spans="3:71">
      <c r="D103">
        <f t="shared" si="84"/>
        <v>72.5</v>
      </c>
      <c r="E103">
        <f t="shared" si="89"/>
        <v>97.5</v>
      </c>
      <c r="F103">
        <f t="shared" si="90"/>
        <v>122.5</v>
      </c>
      <c r="G103">
        <f t="shared" si="91"/>
        <v>147.5</v>
      </c>
      <c r="H103">
        <f t="shared" si="85"/>
        <v>172.5</v>
      </c>
      <c r="O103" s="520"/>
      <c r="P103" s="520">
        <f t="shared" si="86"/>
        <v>72.5</v>
      </c>
      <c r="Q103" s="520">
        <f t="shared" si="92"/>
        <v>97.5</v>
      </c>
      <c r="R103" s="983">
        <f t="shared" si="93"/>
        <v>122.5</v>
      </c>
      <c r="S103" s="520">
        <f t="shared" si="94"/>
        <v>147.5</v>
      </c>
      <c r="T103" s="520">
        <f t="shared" si="87"/>
        <v>172.5</v>
      </c>
      <c r="U103" s="520">
        <f t="shared" si="95"/>
        <v>197.5</v>
      </c>
      <c r="AU103" s="334"/>
      <c r="AV103" s="334">
        <v>70</v>
      </c>
      <c r="AW103" s="334">
        <v>90</v>
      </c>
      <c r="AX103" s="334">
        <v>110</v>
      </c>
      <c r="AY103" s="334">
        <v>130</v>
      </c>
      <c r="AZ103" s="334">
        <v>150</v>
      </c>
      <c r="BA103" s="334">
        <v>170</v>
      </c>
      <c r="BB103" s="334"/>
      <c r="BE103" s="3">
        <f>BE71</f>
        <v>0.72916666666666663</v>
      </c>
      <c r="BF103" s="1074">
        <f>BF8</f>
        <v>6</v>
      </c>
      <c r="BG103" s="1074">
        <f t="shared" ref="BG103:BR103" si="98">BG8</f>
        <v>9.1666666666666661</v>
      </c>
      <c r="BH103" s="1074">
        <f t="shared" si="98"/>
        <v>6.9</v>
      </c>
      <c r="BI103" s="1074">
        <f t="shared" si="98"/>
        <v>8.1999999999999993</v>
      </c>
      <c r="BJ103" s="1074">
        <f t="shared" si="98"/>
        <v>6.4</v>
      </c>
      <c r="BK103" s="1074">
        <f t="shared" si="98"/>
        <v>5</v>
      </c>
      <c r="BL103" s="1074">
        <f t="shared" si="98"/>
        <v>9.1999999999999993</v>
      </c>
      <c r="BM103" s="1074">
        <f t="shared" si="98"/>
        <v>4.9000000000000004</v>
      </c>
      <c r="BN103" s="1074">
        <f t="shared" si="98"/>
        <v>6.8</v>
      </c>
      <c r="BO103" s="1074">
        <f t="shared" si="98"/>
        <v>8.1999999999999993</v>
      </c>
      <c r="BP103" s="1074">
        <f t="shared" si="98"/>
        <v>6.8731313131312959</v>
      </c>
      <c r="BQ103" s="1074">
        <f t="shared" si="98"/>
        <v>6.8105050505050144</v>
      </c>
      <c r="BR103" s="1074">
        <f t="shared" si="98"/>
        <v>6.7478787878787898</v>
      </c>
      <c r="BS103" s="420"/>
    </row>
    <row r="104" spans="3:71">
      <c r="D104">
        <f t="shared" si="84"/>
        <v>72.5</v>
      </c>
      <c r="E104">
        <f t="shared" si="89"/>
        <v>97.5</v>
      </c>
      <c r="F104">
        <f t="shared" si="90"/>
        <v>122.5</v>
      </c>
      <c r="G104">
        <f t="shared" si="91"/>
        <v>147.5</v>
      </c>
      <c r="H104">
        <f t="shared" si="85"/>
        <v>172.5</v>
      </c>
      <c r="O104" s="520"/>
      <c r="P104" s="520">
        <f t="shared" si="86"/>
        <v>72.5</v>
      </c>
      <c r="Q104" s="520">
        <f t="shared" si="92"/>
        <v>97.5</v>
      </c>
      <c r="R104" s="983">
        <f t="shared" si="93"/>
        <v>122.5</v>
      </c>
      <c r="S104" s="520">
        <f t="shared" si="94"/>
        <v>147.5</v>
      </c>
      <c r="T104" s="520">
        <f t="shared" si="87"/>
        <v>172.5</v>
      </c>
      <c r="U104" s="520">
        <f t="shared" si="95"/>
        <v>197.5</v>
      </c>
      <c r="AV104">
        <v>70</v>
      </c>
      <c r="AW104" s="2">
        <v>90</v>
      </c>
      <c r="AX104" s="2">
        <v>110</v>
      </c>
      <c r="AY104" s="2">
        <v>130</v>
      </c>
      <c r="AZ104">
        <v>150</v>
      </c>
      <c r="BA104">
        <v>170</v>
      </c>
      <c r="BE104" s="3">
        <f>BE73</f>
        <v>0.95833333333333337</v>
      </c>
      <c r="BF104" s="1074">
        <f>BF10</f>
        <v>10</v>
      </c>
      <c r="BG104" s="1074">
        <f t="shared" ref="BG104:BR104" si="99">BG10</f>
        <v>7.2222222222222223</v>
      </c>
      <c r="BH104" s="1074">
        <f t="shared" si="99"/>
        <v>7.4</v>
      </c>
      <c r="BI104" s="1074">
        <f t="shared" si="99"/>
        <v>9</v>
      </c>
      <c r="BJ104" s="1074">
        <f t="shared" si="99"/>
        <v>7.6</v>
      </c>
      <c r="BK104" s="1074">
        <f t="shared" si="99"/>
        <v>5.3</v>
      </c>
      <c r="BL104" s="1074">
        <f t="shared" si="99"/>
        <v>9.6999999999999993</v>
      </c>
      <c r="BM104" s="1074">
        <f t="shared" si="99"/>
        <v>7.5</v>
      </c>
      <c r="BN104" s="1074">
        <f t="shared" si="99"/>
        <v>5.3</v>
      </c>
      <c r="BO104" s="1074">
        <f t="shared" si="99"/>
        <v>7.9</v>
      </c>
      <c r="BP104" s="1074">
        <f t="shared" si="99"/>
        <v>6.4294276094278757</v>
      </c>
      <c r="BQ104" s="1074">
        <f t="shared" si="99"/>
        <v>6.0408754208756363</v>
      </c>
      <c r="BR104" s="1074">
        <f t="shared" si="99"/>
        <v>5.652323232323397</v>
      </c>
      <c r="BS104" s="420"/>
    </row>
    <row r="105" spans="3:71">
      <c r="D105">
        <f t="shared" si="84"/>
        <v>72.5</v>
      </c>
      <c r="E105">
        <f t="shared" si="89"/>
        <v>97.5</v>
      </c>
      <c r="F105">
        <f t="shared" si="90"/>
        <v>122.5</v>
      </c>
      <c r="G105">
        <f t="shared" si="91"/>
        <v>147.5</v>
      </c>
      <c r="H105">
        <f t="shared" si="85"/>
        <v>172.5</v>
      </c>
      <c r="O105" s="520"/>
      <c r="P105" s="520">
        <f t="shared" si="86"/>
        <v>72.5</v>
      </c>
      <c r="Q105" s="520">
        <f t="shared" si="92"/>
        <v>97.5</v>
      </c>
      <c r="R105" s="983">
        <f t="shared" si="93"/>
        <v>122.5</v>
      </c>
      <c r="S105" s="520">
        <f t="shared" si="94"/>
        <v>147.5</v>
      </c>
      <c r="T105" s="520">
        <f t="shared" si="87"/>
        <v>172.5</v>
      </c>
      <c r="U105" s="520">
        <f t="shared" si="95"/>
        <v>197.5</v>
      </c>
      <c r="AV105">
        <v>70</v>
      </c>
      <c r="AW105" s="2">
        <v>90</v>
      </c>
      <c r="AX105" s="2">
        <v>110</v>
      </c>
      <c r="AY105" s="2">
        <v>130</v>
      </c>
      <c r="AZ105">
        <v>150</v>
      </c>
      <c r="BA105">
        <v>170</v>
      </c>
      <c r="BE105" s="3" t="str">
        <f>BE74</f>
        <v>Nacht</v>
      </c>
      <c r="BF105" s="1074">
        <f>BF11</f>
        <v>5.2777777777777777</v>
      </c>
      <c r="BG105" s="1074">
        <f t="shared" ref="BG105:BR105" si="100">BG11</f>
        <v>5.5555555555555554</v>
      </c>
      <c r="BH105" s="1074">
        <f t="shared" si="100"/>
        <v>5.9</v>
      </c>
      <c r="BI105" s="1074">
        <f t="shared" si="100"/>
        <v>5.8</v>
      </c>
      <c r="BJ105" s="1074">
        <f t="shared" si="100"/>
        <v>6.5</v>
      </c>
      <c r="BK105" s="1074">
        <f t="shared" si="100"/>
        <v>6.6</v>
      </c>
      <c r="BL105" s="1074">
        <f t="shared" si="100"/>
        <v>6.5</v>
      </c>
      <c r="BM105" s="1074">
        <f t="shared" si="100"/>
        <v>6.55</v>
      </c>
      <c r="BN105" s="1074">
        <f t="shared" si="100"/>
        <v>5.8</v>
      </c>
      <c r="BO105" s="1074">
        <f t="shared" si="100"/>
        <v>6.1</v>
      </c>
      <c r="BP105" s="1074">
        <f t="shared" si="100"/>
        <v>6.6319528619528683</v>
      </c>
      <c r="BQ105" s="1074">
        <f t="shared" si="100"/>
        <v>6.8084511784511506</v>
      </c>
      <c r="BR105" s="1074">
        <f t="shared" si="100"/>
        <v>6.9849494949494328</v>
      </c>
      <c r="BS105" s="420"/>
    </row>
    <row r="106" spans="3:71">
      <c r="E106">
        <f t="shared" si="89"/>
        <v>97.5</v>
      </c>
      <c r="F106">
        <f t="shared" si="90"/>
        <v>122.5</v>
      </c>
      <c r="G106">
        <f t="shared" si="91"/>
        <v>147.5</v>
      </c>
      <c r="O106" s="520"/>
      <c r="P106" s="520">
        <f t="shared" si="86"/>
        <v>72.5</v>
      </c>
      <c r="Q106" s="520">
        <f t="shared" si="92"/>
        <v>97.5</v>
      </c>
      <c r="R106" s="983">
        <f t="shared" si="93"/>
        <v>122.5</v>
      </c>
      <c r="S106" s="520">
        <f t="shared" si="94"/>
        <v>147.5</v>
      </c>
      <c r="T106" s="520">
        <f t="shared" si="87"/>
        <v>172.5</v>
      </c>
      <c r="U106" s="520">
        <f t="shared" si="95"/>
        <v>197.5</v>
      </c>
      <c r="AW106" s="2">
        <v>90</v>
      </c>
      <c r="AX106" s="2">
        <v>110</v>
      </c>
      <c r="AY106" s="2">
        <v>130</v>
      </c>
      <c r="AZ106">
        <v>150</v>
      </c>
      <c r="BE106" s="3" t="str">
        <f>BE75</f>
        <v>Früh</v>
      </c>
      <c r="BF106" s="1074">
        <f>BF12</f>
        <v>6.2777777777777777</v>
      </c>
      <c r="BG106" s="1074">
        <f t="shared" ref="BG106:BR106" si="101">BG12</f>
        <v>6.2222222222222223</v>
      </c>
      <c r="BH106" s="1074">
        <f t="shared" si="101"/>
        <v>6.25</v>
      </c>
      <c r="BI106" s="1074">
        <f t="shared" si="101"/>
        <v>6.2361111111111107</v>
      </c>
      <c r="BJ106" s="1074">
        <f t="shared" si="101"/>
        <v>6</v>
      </c>
      <c r="BK106" s="1074">
        <f t="shared" si="101"/>
        <v>6.2</v>
      </c>
      <c r="BL106" s="1074">
        <f t="shared" si="101"/>
        <v>6.1</v>
      </c>
      <c r="BM106" s="1074">
        <f t="shared" si="101"/>
        <v>6.15</v>
      </c>
      <c r="BN106" s="1074">
        <f t="shared" si="101"/>
        <v>6.2</v>
      </c>
      <c r="BO106" s="1074">
        <f t="shared" si="101"/>
        <v>6.3</v>
      </c>
      <c r="BP106" s="1074">
        <f t="shared" si="101"/>
        <v>6.1674579124579125</v>
      </c>
      <c r="BQ106" s="1074">
        <f t="shared" si="101"/>
        <v>6.1594107744107802</v>
      </c>
      <c r="BR106" s="1074">
        <f t="shared" si="101"/>
        <v>6.1513636363636408</v>
      </c>
      <c r="BS106" s="420"/>
    </row>
    <row r="107" spans="3:71">
      <c r="E107">
        <f t="shared" si="89"/>
        <v>97.5</v>
      </c>
      <c r="F107">
        <f t="shared" si="90"/>
        <v>122.5</v>
      </c>
      <c r="G107">
        <f t="shared" si="91"/>
        <v>147.5</v>
      </c>
      <c r="O107" s="520"/>
      <c r="P107" s="520"/>
      <c r="Q107" s="520">
        <f t="shared" si="92"/>
        <v>97.5</v>
      </c>
      <c r="R107" s="983">
        <f t="shared" si="93"/>
        <v>122.5</v>
      </c>
      <c r="S107" s="520">
        <f t="shared" si="94"/>
        <v>147.5</v>
      </c>
      <c r="T107" s="520">
        <f t="shared" si="87"/>
        <v>172.5</v>
      </c>
      <c r="U107" s="520"/>
      <c r="AW107" s="2">
        <v>90</v>
      </c>
      <c r="AX107" s="2">
        <v>110</v>
      </c>
      <c r="AY107" s="2">
        <v>130</v>
      </c>
      <c r="AZ107">
        <v>150</v>
      </c>
      <c r="BF107" s="420"/>
    </row>
    <row r="108" spans="3:71">
      <c r="E108">
        <f t="shared" si="89"/>
        <v>97.5</v>
      </c>
      <c r="F108">
        <f t="shared" si="90"/>
        <v>122.5</v>
      </c>
      <c r="G108">
        <f t="shared" si="91"/>
        <v>147.5</v>
      </c>
      <c r="O108" s="520"/>
      <c r="P108" s="520"/>
      <c r="Q108" s="520">
        <f t="shared" si="92"/>
        <v>97.5</v>
      </c>
      <c r="R108" s="983">
        <f t="shared" si="93"/>
        <v>122.5</v>
      </c>
      <c r="S108" s="520">
        <f t="shared" si="94"/>
        <v>147.5</v>
      </c>
      <c r="T108" s="520">
        <f t="shared" si="87"/>
        <v>172.5</v>
      </c>
      <c r="U108" s="520"/>
      <c r="AW108" s="334">
        <v>90</v>
      </c>
      <c r="AX108" s="334">
        <v>110</v>
      </c>
      <c r="AY108" s="334">
        <v>130</v>
      </c>
      <c r="AZ108" s="334">
        <v>150</v>
      </c>
      <c r="BF108" s="420"/>
    </row>
    <row r="109" spans="3:71">
      <c r="E109">
        <f t="shared" si="89"/>
        <v>97.5</v>
      </c>
      <c r="F109">
        <f t="shared" si="90"/>
        <v>122.5</v>
      </c>
      <c r="G109">
        <f t="shared" si="91"/>
        <v>147.5</v>
      </c>
      <c r="O109" s="520"/>
      <c r="P109" s="520"/>
      <c r="Q109" s="520">
        <f t="shared" si="92"/>
        <v>97.5</v>
      </c>
      <c r="R109" s="983">
        <f t="shared" si="93"/>
        <v>122.5</v>
      </c>
      <c r="S109" s="520">
        <f t="shared" si="94"/>
        <v>147.5</v>
      </c>
      <c r="T109" s="520">
        <f t="shared" si="87"/>
        <v>172.5</v>
      </c>
      <c r="U109" s="520"/>
      <c r="AW109" s="2">
        <v>90</v>
      </c>
      <c r="AX109" s="2">
        <v>110</v>
      </c>
      <c r="AY109" s="2">
        <v>130</v>
      </c>
      <c r="AZ109">
        <v>150</v>
      </c>
      <c r="BF109" s="420"/>
    </row>
    <row r="110" spans="3:71">
      <c r="E110">
        <f t="shared" si="89"/>
        <v>97.5</v>
      </c>
      <c r="F110">
        <f t="shared" si="90"/>
        <v>122.5</v>
      </c>
      <c r="G110">
        <f t="shared" si="91"/>
        <v>147.5</v>
      </c>
      <c r="O110" s="520"/>
      <c r="P110" s="520"/>
      <c r="Q110" s="520">
        <f t="shared" si="92"/>
        <v>97.5</v>
      </c>
      <c r="R110" s="520">
        <v>122.5</v>
      </c>
      <c r="S110" s="520">
        <f t="shared" si="94"/>
        <v>147.5</v>
      </c>
      <c r="T110" s="520">
        <f t="shared" si="87"/>
        <v>172.5</v>
      </c>
      <c r="U110" s="520"/>
      <c r="AW110" s="2">
        <v>90</v>
      </c>
      <c r="AX110" s="2">
        <v>110</v>
      </c>
      <c r="AY110" s="2">
        <v>130</v>
      </c>
      <c r="AZ110">
        <v>150</v>
      </c>
      <c r="BF110" s="420"/>
    </row>
    <row r="111" spans="3:71">
      <c r="E111">
        <f t="shared" si="89"/>
        <v>97.5</v>
      </c>
      <c r="F111">
        <f t="shared" si="90"/>
        <v>122.5</v>
      </c>
      <c r="G111">
        <f t="shared" si="91"/>
        <v>147.5</v>
      </c>
      <c r="O111" s="520"/>
      <c r="P111" s="520"/>
      <c r="Q111" s="520">
        <f t="shared" si="92"/>
        <v>97.5</v>
      </c>
      <c r="R111" s="520">
        <v>122.5</v>
      </c>
      <c r="S111" s="520">
        <f t="shared" si="94"/>
        <v>147.5</v>
      </c>
      <c r="T111" s="520">
        <f t="shared" si="87"/>
        <v>172.5</v>
      </c>
      <c r="U111" s="520"/>
      <c r="AW111" s="2">
        <v>90</v>
      </c>
      <c r="AX111" s="2">
        <v>110</v>
      </c>
      <c r="AY111" s="2">
        <v>130</v>
      </c>
      <c r="AZ111">
        <v>150</v>
      </c>
      <c r="BF111" s="420"/>
    </row>
    <row r="112" spans="3:71">
      <c r="E112">
        <f t="shared" si="89"/>
        <v>97.5</v>
      </c>
      <c r="F112">
        <f t="shared" si="90"/>
        <v>122.5</v>
      </c>
      <c r="G112">
        <f t="shared" si="91"/>
        <v>147.5</v>
      </c>
      <c r="O112" s="520"/>
      <c r="P112" s="520"/>
      <c r="Q112" s="520">
        <f t="shared" si="92"/>
        <v>97.5</v>
      </c>
      <c r="R112" s="520">
        <v>122.5</v>
      </c>
      <c r="S112" s="520">
        <f t="shared" si="94"/>
        <v>147.5</v>
      </c>
      <c r="T112" s="520">
        <f t="shared" si="87"/>
        <v>172.5</v>
      </c>
      <c r="U112" s="520"/>
      <c r="AW112" s="2">
        <v>90</v>
      </c>
      <c r="AX112" s="2">
        <v>110</v>
      </c>
      <c r="AY112" s="2">
        <v>130</v>
      </c>
      <c r="AZ112">
        <v>150</v>
      </c>
      <c r="BF112" s="420"/>
    </row>
    <row r="113" spans="5:58">
      <c r="E113">
        <f t="shared" si="89"/>
        <v>97.5</v>
      </c>
      <c r="F113">
        <f t="shared" si="90"/>
        <v>122.5</v>
      </c>
      <c r="G113">
        <f t="shared" si="91"/>
        <v>147.5</v>
      </c>
      <c r="O113" s="520"/>
      <c r="P113" s="520"/>
      <c r="Q113" s="520">
        <f t="shared" si="92"/>
        <v>97.5</v>
      </c>
      <c r="R113" s="520">
        <v>122.5</v>
      </c>
      <c r="S113" s="520">
        <f t="shared" si="94"/>
        <v>147.5</v>
      </c>
      <c r="T113" s="520">
        <f t="shared" si="87"/>
        <v>172.5</v>
      </c>
      <c r="U113" s="520"/>
      <c r="AW113" s="334">
        <v>90</v>
      </c>
      <c r="AX113" s="334">
        <v>110</v>
      </c>
      <c r="AY113" s="334">
        <v>130</v>
      </c>
      <c r="AZ113" s="334">
        <v>150</v>
      </c>
      <c r="BF113" s="420"/>
    </row>
    <row r="114" spans="5:58">
      <c r="E114">
        <f t="shared" si="89"/>
        <v>97.5</v>
      </c>
      <c r="F114">
        <f t="shared" si="90"/>
        <v>122.5</v>
      </c>
      <c r="G114">
        <f t="shared" si="91"/>
        <v>147.5</v>
      </c>
      <c r="O114" s="520"/>
      <c r="P114" s="520"/>
      <c r="Q114" s="520">
        <f t="shared" si="92"/>
        <v>97.5</v>
      </c>
      <c r="R114" s="520">
        <v>122.5</v>
      </c>
      <c r="S114" s="520">
        <f t="shared" si="94"/>
        <v>147.5</v>
      </c>
      <c r="T114" s="520">
        <f t="shared" si="87"/>
        <v>172.5</v>
      </c>
      <c r="U114" s="520"/>
      <c r="AW114" s="2">
        <v>90</v>
      </c>
      <c r="AX114" s="2">
        <v>110</v>
      </c>
      <c r="AY114" s="2">
        <v>130</v>
      </c>
      <c r="AZ114">
        <v>150</v>
      </c>
      <c r="BF114" s="420"/>
    </row>
    <row r="115" spans="5:58">
      <c r="F115">
        <f t="shared" si="90"/>
        <v>122.5</v>
      </c>
      <c r="O115" s="520"/>
      <c r="P115" s="520"/>
      <c r="Q115" s="520">
        <f t="shared" si="92"/>
        <v>97.5</v>
      </c>
      <c r="R115" s="520">
        <v>122.5</v>
      </c>
      <c r="S115" s="520">
        <f t="shared" si="94"/>
        <v>147.5</v>
      </c>
      <c r="T115" s="520">
        <f t="shared" si="87"/>
        <v>172.5</v>
      </c>
      <c r="U115" s="520"/>
      <c r="AW115" s="2">
        <v>90</v>
      </c>
      <c r="AX115" s="2">
        <v>110</v>
      </c>
      <c r="AY115" s="2">
        <v>130</v>
      </c>
      <c r="AZ115">
        <v>150</v>
      </c>
      <c r="BF115" s="420"/>
    </row>
    <row r="116" spans="5:58">
      <c r="F116">
        <f t="shared" si="90"/>
        <v>122.5</v>
      </c>
      <c r="O116" s="520"/>
      <c r="P116" s="520"/>
      <c r="Q116" s="520">
        <f t="shared" si="92"/>
        <v>97.5</v>
      </c>
      <c r="R116" s="520">
        <v>122.5</v>
      </c>
      <c r="S116" s="520">
        <f t="shared" si="94"/>
        <v>147.5</v>
      </c>
      <c r="T116" s="520">
        <f t="shared" si="87"/>
        <v>172.5</v>
      </c>
      <c r="U116" s="520"/>
      <c r="AW116" s="2">
        <v>90</v>
      </c>
      <c r="AX116" s="2">
        <v>110</v>
      </c>
      <c r="AY116" s="2">
        <v>130</v>
      </c>
      <c r="AZ116">
        <v>150</v>
      </c>
      <c r="BF116" s="420"/>
    </row>
    <row r="117" spans="5:58">
      <c r="F117">
        <f t="shared" si="90"/>
        <v>122.5</v>
      </c>
      <c r="O117" s="520"/>
      <c r="P117" s="520"/>
      <c r="Q117" s="520">
        <f t="shared" si="92"/>
        <v>97.5</v>
      </c>
      <c r="R117" s="520">
        <v>122.5</v>
      </c>
      <c r="S117" s="520">
        <f t="shared" si="94"/>
        <v>147.5</v>
      </c>
      <c r="T117" s="520">
        <f t="shared" si="87"/>
        <v>172.5</v>
      </c>
      <c r="U117" s="520"/>
      <c r="AW117" s="2">
        <v>90</v>
      </c>
      <c r="AX117" s="2">
        <v>110</v>
      </c>
      <c r="AY117" s="2">
        <v>130</v>
      </c>
      <c r="AZ117">
        <v>150</v>
      </c>
      <c r="BF117" s="420"/>
    </row>
    <row r="118" spans="5:58">
      <c r="F118">
        <f t="shared" si="90"/>
        <v>122.5</v>
      </c>
      <c r="O118" s="520"/>
      <c r="P118" s="520"/>
      <c r="Q118" s="520">
        <f t="shared" si="92"/>
        <v>97.5</v>
      </c>
      <c r="R118" s="520">
        <v>122.5</v>
      </c>
      <c r="S118" s="520">
        <f t="shared" si="94"/>
        <v>147.5</v>
      </c>
      <c r="T118" s="520">
        <f t="shared" si="87"/>
        <v>172.5</v>
      </c>
      <c r="U118" s="520"/>
      <c r="AW118" s="334">
        <v>90</v>
      </c>
      <c r="AX118" s="334">
        <v>110</v>
      </c>
      <c r="AY118" s="334">
        <v>130</v>
      </c>
      <c r="AZ118" s="334">
        <v>150</v>
      </c>
    </row>
    <row r="119" spans="5:58">
      <c r="F119">
        <f t="shared" si="90"/>
        <v>122.5</v>
      </c>
      <c r="O119" s="520"/>
      <c r="P119" s="520"/>
      <c r="Q119" s="520">
        <f t="shared" si="92"/>
        <v>97.5</v>
      </c>
      <c r="R119" s="520">
        <v>122.5</v>
      </c>
      <c r="S119" s="520">
        <f t="shared" si="94"/>
        <v>147.5</v>
      </c>
      <c r="T119" s="520">
        <f t="shared" si="87"/>
        <v>172.5</v>
      </c>
      <c r="U119" s="520"/>
      <c r="AW119">
        <v>90</v>
      </c>
      <c r="AX119" s="2">
        <v>110</v>
      </c>
      <c r="AY119" s="2">
        <v>130</v>
      </c>
      <c r="AZ119">
        <v>150</v>
      </c>
    </row>
    <row r="120" spans="5:58">
      <c r="Q120" s="520">
        <f t="shared" si="92"/>
        <v>97.5</v>
      </c>
      <c r="R120" s="983">
        <f>245/2</f>
        <v>122.5</v>
      </c>
      <c r="S120" s="520">
        <f t="shared" si="94"/>
        <v>147.5</v>
      </c>
      <c r="T120" s="520">
        <f t="shared" si="87"/>
        <v>172.5</v>
      </c>
      <c r="AX120" s="2">
        <v>110</v>
      </c>
      <c r="AY120" s="2">
        <v>130</v>
      </c>
    </row>
    <row r="121" spans="5:58" s="520" customFormat="1">
      <c r="R121" s="983">
        <f t="shared" si="93"/>
        <v>122.5</v>
      </c>
      <c r="S121" s="520">
        <f t="shared" si="94"/>
        <v>147.5</v>
      </c>
      <c r="AX121" s="544"/>
      <c r="AY121" s="544"/>
    </row>
    <row r="122" spans="5:58" s="520" customFormat="1">
      <c r="R122" s="983">
        <f t="shared" si="93"/>
        <v>122.5</v>
      </c>
      <c r="S122" s="520">
        <f t="shared" si="94"/>
        <v>147.5</v>
      </c>
      <c r="AX122" s="544"/>
      <c r="AY122" s="544"/>
    </row>
    <row r="123" spans="5:58" s="520" customFormat="1">
      <c r="R123" s="983">
        <f t="shared" si="93"/>
        <v>122.5</v>
      </c>
      <c r="S123" s="520">
        <f t="shared" si="94"/>
        <v>147.5</v>
      </c>
      <c r="AX123" s="544"/>
      <c r="AY123" s="544"/>
    </row>
    <row r="124" spans="5:58" s="520" customFormat="1">
      <c r="R124" s="983">
        <f t="shared" si="93"/>
        <v>122.5</v>
      </c>
      <c r="S124" s="520">
        <f t="shared" si="94"/>
        <v>147.5</v>
      </c>
      <c r="AX124" s="544"/>
      <c r="AY124" s="544"/>
    </row>
    <row r="125" spans="5:58" s="520" customFormat="1">
      <c r="R125" s="983">
        <f t="shared" si="93"/>
        <v>122.5</v>
      </c>
      <c r="S125" s="520">
        <f t="shared" si="94"/>
        <v>147.5</v>
      </c>
      <c r="AX125" s="544"/>
      <c r="AY125" s="544"/>
    </row>
    <row r="126" spans="5:58" ht="15" customHeight="1">
      <c r="R126" s="983">
        <f t="shared" si="93"/>
        <v>122.5</v>
      </c>
      <c r="S126" s="520">
        <f t="shared" si="94"/>
        <v>147.5</v>
      </c>
      <c r="AX126" s="2">
        <v>110</v>
      </c>
      <c r="AY126" s="2">
        <v>130</v>
      </c>
    </row>
    <row r="127" spans="5:58" s="520" customFormat="1">
      <c r="R127" s="983">
        <f t="shared" si="93"/>
        <v>122.5</v>
      </c>
      <c r="S127" s="520">
        <f t="shared" si="94"/>
        <v>147.5</v>
      </c>
      <c r="AX127" s="544"/>
      <c r="AY127" s="544"/>
    </row>
    <row r="128" spans="5:58" s="520" customFormat="1">
      <c r="R128" s="983">
        <f t="shared" si="93"/>
        <v>122.5</v>
      </c>
      <c r="S128" s="520">
        <f t="shared" si="94"/>
        <v>147.5</v>
      </c>
      <c r="AX128" s="544"/>
      <c r="AY128" s="544"/>
    </row>
    <row r="129" spans="1:54" s="520" customFormat="1">
      <c r="R129" s="983">
        <f t="shared" si="93"/>
        <v>122.5</v>
      </c>
      <c r="S129" s="520">
        <f t="shared" si="94"/>
        <v>147.5</v>
      </c>
      <c r="AX129" s="544"/>
      <c r="AY129" s="544"/>
    </row>
    <row r="130" spans="1:54" s="520" customFormat="1">
      <c r="R130" s="520">
        <v>122.5</v>
      </c>
      <c r="S130" s="520">
        <f t="shared" si="94"/>
        <v>147.5</v>
      </c>
      <c r="AX130" s="544"/>
      <c r="AY130" s="544"/>
    </row>
    <row r="131" spans="1:54" s="520" customFormat="1">
      <c r="R131" s="520">
        <v>122.5</v>
      </c>
      <c r="S131" s="520">
        <f t="shared" si="94"/>
        <v>147.5</v>
      </c>
      <c r="AX131" s="544"/>
      <c r="AY131" s="544"/>
    </row>
    <row r="132" spans="1:54" s="520" customFormat="1">
      <c r="R132" s="520">
        <v>122.5</v>
      </c>
      <c r="S132" s="520">
        <f t="shared" si="94"/>
        <v>147.5</v>
      </c>
      <c r="AX132" s="544"/>
      <c r="AY132" s="544"/>
    </row>
    <row r="133" spans="1:54" s="520" customFormat="1">
      <c r="R133" s="520">
        <v>122.5</v>
      </c>
      <c r="S133" s="520">
        <f t="shared" si="94"/>
        <v>147.5</v>
      </c>
      <c r="AX133" s="544"/>
      <c r="AY133" s="544"/>
    </row>
    <row r="134" spans="1:54">
      <c r="R134" s="520">
        <f t="shared" si="93"/>
        <v>122.5</v>
      </c>
      <c r="S134" s="520">
        <f t="shared" si="94"/>
        <v>147.5</v>
      </c>
      <c r="AX134" s="2">
        <v>110</v>
      </c>
      <c r="AY134" s="2">
        <v>130</v>
      </c>
    </row>
    <row r="135" spans="1:54" ht="14" thickBot="1">
      <c r="AX135" s="2">
        <v>110</v>
      </c>
      <c r="AY135" s="2">
        <v>130</v>
      </c>
    </row>
    <row r="136" spans="1:54">
      <c r="A136" s="335" t="str">
        <f>A66</f>
        <v>KW</v>
      </c>
      <c r="B136" s="271">
        <f t="shared" ref="B136:AG136" si="102">IF(B66=0,"",B66)</f>
        <v>1</v>
      </c>
      <c r="C136" s="271">
        <f t="shared" si="102"/>
        <v>2</v>
      </c>
      <c r="D136" s="271">
        <f t="shared" si="102"/>
        <v>3</v>
      </c>
      <c r="E136" s="271">
        <f t="shared" si="102"/>
        <v>4</v>
      </c>
      <c r="F136" s="271">
        <f t="shared" si="102"/>
        <v>5</v>
      </c>
      <c r="G136" s="271">
        <f t="shared" si="102"/>
        <v>6</v>
      </c>
      <c r="H136" s="271">
        <f t="shared" si="102"/>
        <v>7</v>
      </c>
      <c r="I136" s="271">
        <f t="shared" si="102"/>
        <v>8</v>
      </c>
      <c r="J136" s="271">
        <f t="shared" si="102"/>
        <v>9</v>
      </c>
      <c r="K136" s="271">
        <f t="shared" si="102"/>
        <v>10</v>
      </c>
      <c r="L136" s="271">
        <f t="shared" si="102"/>
        <v>11</v>
      </c>
      <c r="M136" s="271">
        <f t="shared" si="102"/>
        <v>12</v>
      </c>
      <c r="N136" s="271">
        <f t="shared" si="102"/>
        <v>13</v>
      </c>
      <c r="O136" s="271">
        <f t="shared" si="102"/>
        <v>14</v>
      </c>
      <c r="P136" s="271">
        <f t="shared" si="102"/>
        <v>15</v>
      </c>
      <c r="Q136" s="271">
        <f t="shared" si="102"/>
        <v>16</v>
      </c>
      <c r="R136" s="271">
        <f t="shared" si="102"/>
        <v>17</v>
      </c>
      <c r="S136" s="271">
        <f t="shared" si="102"/>
        <v>18</v>
      </c>
      <c r="T136" s="271">
        <f t="shared" si="102"/>
        <v>19</v>
      </c>
      <c r="U136" s="271">
        <f t="shared" si="102"/>
        <v>20</v>
      </c>
      <c r="V136" s="271">
        <f t="shared" si="102"/>
        <v>21</v>
      </c>
      <c r="W136" s="271">
        <f t="shared" si="102"/>
        <v>22</v>
      </c>
      <c r="X136" s="271">
        <f t="shared" si="102"/>
        <v>23</v>
      </c>
      <c r="Y136" s="271">
        <f t="shared" si="102"/>
        <v>24</v>
      </c>
      <c r="Z136" s="271">
        <f t="shared" si="102"/>
        <v>25</v>
      </c>
      <c r="AA136" s="271">
        <f t="shared" si="102"/>
        <v>26</v>
      </c>
      <c r="AB136" s="271">
        <f t="shared" si="102"/>
        <v>27</v>
      </c>
      <c r="AC136" s="271">
        <f t="shared" si="102"/>
        <v>28</v>
      </c>
      <c r="AD136" s="271">
        <f t="shared" si="102"/>
        <v>29</v>
      </c>
      <c r="AE136" s="271">
        <f t="shared" si="102"/>
        <v>30</v>
      </c>
      <c r="AF136" s="271">
        <f t="shared" si="102"/>
        <v>31</v>
      </c>
      <c r="AG136" s="271">
        <f t="shared" si="102"/>
        <v>32</v>
      </c>
      <c r="AH136" s="271">
        <f t="shared" ref="AH136:BA136" si="103">IF(AH66=0,"",AH66)</f>
        <v>33</v>
      </c>
      <c r="AI136" s="271">
        <f t="shared" si="103"/>
        <v>34</v>
      </c>
      <c r="AJ136" s="271">
        <f t="shared" si="103"/>
        <v>35</v>
      </c>
      <c r="AK136" s="271">
        <f t="shared" si="103"/>
        <v>36</v>
      </c>
      <c r="AL136" s="271">
        <f t="shared" si="103"/>
        <v>37</v>
      </c>
      <c r="AM136" s="271">
        <f t="shared" si="103"/>
        <v>38</v>
      </c>
      <c r="AN136" s="271">
        <f t="shared" si="103"/>
        <v>39</v>
      </c>
      <c r="AO136" s="271">
        <f t="shared" si="103"/>
        <v>40</v>
      </c>
      <c r="AP136" s="271">
        <f t="shared" si="103"/>
        <v>41</v>
      </c>
      <c r="AQ136" s="271">
        <f t="shared" si="103"/>
        <v>42</v>
      </c>
      <c r="AR136" s="271">
        <f t="shared" si="103"/>
        <v>43</v>
      </c>
      <c r="AS136" s="271">
        <f t="shared" si="103"/>
        <v>44</v>
      </c>
      <c r="AT136" s="271">
        <f t="shared" si="103"/>
        <v>45</v>
      </c>
      <c r="AU136" s="271">
        <f t="shared" si="103"/>
        <v>46</v>
      </c>
      <c r="AV136" s="271">
        <f t="shared" si="103"/>
        <v>47</v>
      </c>
      <c r="AW136" s="271">
        <f t="shared" si="103"/>
        <v>48</v>
      </c>
      <c r="AX136" s="271">
        <f t="shared" si="103"/>
        <v>49</v>
      </c>
      <c r="AY136" s="271">
        <f t="shared" si="103"/>
        <v>50</v>
      </c>
      <c r="AZ136" s="271">
        <f t="shared" si="103"/>
        <v>51</v>
      </c>
      <c r="BA136" s="271">
        <f t="shared" si="103"/>
        <v>52</v>
      </c>
      <c r="BB136" s="337" t="s">
        <v>30</v>
      </c>
    </row>
    <row r="137" spans="1:54">
      <c r="A137" s="336">
        <f t="shared" ref="A137:A145" si="104">A4</f>
        <v>0.29166666666666669</v>
      </c>
      <c r="B137" s="369">
        <f t="shared" ref="B137:B145" si="105">IF(B67=0,"",B67)</f>
        <v>6.166666666666667</v>
      </c>
      <c r="C137" s="369">
        <f t="shared" ref="C137:Q137" si="106">IF(C67=0,"",C67)</f>
        <v>6.1111111111111107</v>
      </c>
      <c r="D137" s="369">
        <f t="shared" si="106"/>
        <v>6</v>
      </c>
      <c r="E137" s="369">
        <f t="shared" si="106"/>
        <v>6.2222222222222223</v>
      </c>
      <c r="F137" s="369">
        <f t="shared" si="106"/>
        <v>6</v>
      </c>
      <c r="G137" s="369">
        <f t="shared" si="106"/>
        <v>6.2777777777777777</v>
      </c>
      <c r="H137" s="369">
        <f t="shared" si="106"/>
        <v>6.2222222222222223</v>
      </c>
      <c r="I137" s="369">
        <f t="shared" si="106"/>
        <v>6.2</v>
      </c>
      <c r="J137" s="369">
        <f t="shared" si="106"/>
        <v>6.1</v>
      </c>
      <c r="K137" s="369">
        <f t="shared" si="106"/>
        <v>6</v>
      </c>
      <c r="L137" s="369">
        <f t="shared" si="106"/>
        <v>6.2</v>
      </c>
      <c r="M137" s="369">
        <f t="shared" si="106"/>
        <v>6</v>
      </c>
      <c r="N137" s="369">
        <f t="shared" si="106"/>
        <v>6.2</v>
      </c>
      <c r="O137" s="369">
        <f t="shared" si="106"/>
        <v>6.2</v>
      </c>
      <c r="P137" s="369">
        <f t="shared" si="106"/>
        <v>5.9</v>
      </c>
      <c r="Q137" s="369" t="str">
        <f t="shared" si="106"/>
        <v/>
      </c>
      <c r="R137" s="369" t="str">
        <f t="shared" ref="R137:BA137" si="107">IF(R67=0,"",R67)</f>
        <v/>
      </c>
      <c r="S137" s="369" t="str">
        <f t="shared" si="107"/>
        <v/>
      </c>
      <c r="T137" s="369" t="str">
        <f t="shared" si="107"/>
        <v/>
      </c>
      <c r="U137" s="369" t="str">
        <f t="shared" si="107"/>
        <v/>
      </c>
      <c r="V137" s="369" t="str">
        <f t="shared" si="107"/>
        <v/>
      </c>
      <c r="W137" s="369" t="str">
        <f t="shared" si="107"/>
        <v/>
      </c>
      <c r="X137" s="369" t="str">
        <f t="shared" si="107"/>
        <v/>
      </c>
      <c r="Y137" s="369" t="str">
        <f t="shared" si="107"/>
        <v/>
      </c>
      <c r="Z137" s="369" t="str">
        <f t="shared" si="107"/>
        <v/>
      </c>
      <c r="AA137" s="369" t="str">
        <f t="shared" si="107"/>
        <v/>
      </c>
      <c r="AB137" s="369" t="str">
        <f t="shared" si="107"/>
        <v/>
      </c>
      <c r="AC137" s="369" t="str">
        <f t="shared" si="107"/>
        <v/>
      </c>
      <c r="AD137" s="369" t="str">
        <f t="shared" si="107"/>
        <v/>
      </c>
      <c r="AE137" s="369" t="str">
        <f t="shared" si="107"/>
        <v/>
      </c>
      <c r="AF137" s="369" t="str">
        <f t="shared" si="107"/>
        <v/>
      </c>
      <c r="AG137" s="369" t="str">
        <f t="shared" si="107"/>
        <v/>
      </c>
      <c r="AH137" s="369" t="str">
        <f t="shared" si="107"/>
        <v/>
      </c>
      <c r="AI137" s="369" t="str">
        <f t="shared" si="107"/>
        <v/>
      </c>
      <c r="AJ137" s="369" t="str">
        <f t="shared" si="107"/>
        <v/>
      </c>
      <c r="AK137" s="369" t="str">
        <f t="shared" si="107"/>
        <v/>
      </c>
      <c r="AL137" s="369" t="str">
        <f t="shared" si="107"/>
        <v/>
      </c>
      <c r="AM137" s="369" t="str">
        <f t="shared" si="107"/>
        <v/>
      </c>
      <c r="AN137" s="369" t="str">
        <f t="shared" si="107"/>
        <v/>
      </c>
      <c r="AO137" s="369" t="str">
        <f t="shared" si="107"/>
        <v/>
      </c>
      <c r="AP137" s="369" t="str">
        <f t="shared" si="107"/>
        <v/>
      </c>
      <c r="AQ137" s="369" t="str">
        <f t="shared" si="107"/>
        <v/>
      </c>
      <c r="AR137" s="369" t="str">
        <f t="shared" si="107"/>
        <v/>
      </c>
      <c r="AS137" s="369" t="str">
        <f t="shared" si="107"/>
        <v/>
      </c>
      <c r="AT137" s="369" t="str">
        <f t="shared" si="107"/>
        <v/>
      </c>
      <c r="AU137" s="369" t="str">
        <f t="shared" si="107"/>
        <v/>
      </c>
      <c r="AV137" s="369" t="str">
        <f t="shared" si="107"/>
        <v/>
      </c>
      <c r="AW137" s="369" t="str">
        <f t="shared" si="107"/>
        <v/>
      </c>
      <c r="AX137" s="369" t="str">
        <f t="shared" si="107"/>
        <v/>
      </c>
      <c r="AY137" s="369" t="str">
        <f t="shared" si="107"/>
        <v/>
      </c>
      <c r="AZ137" s="369" t="str">
        <f t="shared" si="107"/>
        <v/>
      </c>
      <c r="BA137" s="369" t="str">
        <f t="shared" si="107"/>
        <v/>
      </c>
      <c r="BB137" s="278">
        <f>STDEV(B137:BA137)</f>
        <v>0.1134048949296437</v>
      </c>
    </row>
    <row r="138" spans="1:54">
      <c r="A138" s="336">
        <f t="shared" si="104"/>
        <v>0.39583333333333331</v>
      </c>
      <c r="B138" s="369">
        <f t="shared" si="105"/>
        <v>8.2222222222222214</v>
      </c>
      <c r="C138" s="369">
        <f t="shared" ref="C138:Q138" si="108">IF(C68=0,"",C68)</f>
        <v>9.0555555555555554</v>
      </c>
      <c r="D138" s="369">
        <f t="shared" si="108"/>
        <v>10.388888888888889</v>
      </c>
      <c r="E138" s="369">
        <f t="shared" si="108"/>
        <v>10.333333333333334</v>
      </c>
      <c r="F138" s="369">
        <f t="shared" si="108"/>
        <v>10.555555555555555</v>
      </c>
      <c r="G138" s="369">
        <f t="shared" si="108"/>
        <v>12.111111111111111</v>
      </c>
      <c r="H138" s="369">
        <f t="shared" si="108"/>
        <v>9.8888888888888893</v>
      </c>
      <c r="I138" s="369">
        <f t="shared" si="108"/>
        <v>8.1999999999999993</v>
      </c>
      <c r="J138" s="369">
        <f t="shared" si="108"/>
        <v>9.1</v>
      </c>
      <c r="K138" s="369" t="str">
        <f t="shared" si="108"/>
        <v/>
      </c>
      <c r="L138" s="369">
        <f t="shared" si="108"/>
        <v>10.3</v>
      </c>
      <c r="M138" s="369">
        <f t="shared" si="108"/>
        <v>10.5</v>
      </c>
      <c r="N138" s="369">
        <f t="shared" si="108"/>
        <v>9.6</v>
      </c>
      <c r="O138" s="369" t="str">
        <f t="shared" si="108"/>
        <v/>
      </c>
      <c r="P138" s="369">
        <f t="shared" si="108"/>
        <v>9.4</v>
      </c>
      <c r="Q138" s="369" t="str">
        <f t="shared" si="108"/>
        <v/>
      </c>
      <c r="R138" s="369" t="str">
        <f t="shared" ref="R138:BA138" si="109">IF(R68=0,"",R68)</f>
        <v/>
      </c>
      <c r="S138" s="369" t="str">
        <f t="shared" si="109"/>
        <v/>
      </c>
      <c r="T138" s="369" t="str">
        <f t="shared" si="109"/>
        <v/>
      </c>
      <c r="U138" s="369" t="str">
        <f t="shared" si="109"/>
        <v/>
      </c>
      <c r="V138" s="369" t="str">
        <f t="shared" si="109"/>
        <v/>
      </c>
      <c r="W138" s="369" t="str">
        <f t="shared" si="109"/>
        <v/>
      </c>
      <c r="X138" s="369" t="str">
        <f t="shared" si="109"/>
        <v/>
      </c>
      <c r="Y138" s="369" t="str">
        <f t="shared" si="109"/>
        <v/>
      </c>
      <c r="Z138" s="369" t="str">
        <f t="shared" si="109"/>
        <v/>
      </c>
      <c r="AA138" s="369" t="str">
        <f t="shared" si="109"/>
        <v/>
      </c>
      <c r="AB138" s="369" t="str">
        <f t="shared" si="109"/>
        <v/>
      </c>
      <c r="AC138" s="369" t="str">
        <f t="shared" si="109"/>
        <v/>
      </c>
      <c r="AD138" s="369" t="str">
        <f t="shared" si="109"/>
        <v/>
      </c>
      <c r="AE138" s="369" t="str">
        <f t="shared" si="109"/>
        <v/>
      </c>
      <c r="AF138" s="369" t="str">
        <f t="shared" si="109"/>
        <v/>
      </c>
      <c r="AG138" s="369" t="str">
        <f t="shared" si="109"/>
        <v/>
      </c>
      <c r="AH138" s="369" t="str">
        <f t="shared" si="109"/>
        <v/>
      </c>
      <c r="AI138" s="369" t="str">
        <f t="shared" si="109"/>
        <v/>
      </c>
      <c r="AJ138" s="369" t="str">
        <f t="shared" si="109"/>
        <v/>
      </c>
      <c r="AK138" s="369" t="str">
        <f t="shared" si="109"/>
        <v/>
      </c>
      <c r="AL138" s="369" t="str">
        <f t="shared" si="109"/>
        <v/>
      </c>
      <c r="AM138" s="369" t="str">
        <f t="shared" si="109"/>
        <v/>
      </c>
      <c r="AN138" s="369" t="str">
        <f t="shared" si="109"/>
        <v/>
      </c>
      <c r="AO138" s="369" t="str">
        <f t="shared" si="109"/>
        <v/>
      </c>
      <c r="AP138" s="369" t="str">
        <f t="shared" si="109"/>
        <v/>
      </c>
      <c r="AQ138" s="369" t="str">
        <f t="shared" si="109"/>
        <v/>
      </c>
      <c r="AR138" s="369" t="str">
        <f t="shared" si="109"/>
        <v/>
      </c>
      <c r="AS138" s="369" t="str">
        <f t="shared" si="109"/>
        <v/>
      </c>
      <c r="AT138" s="369" t="str">
        <f t="shared" si="109"/>
        <v/>
      </c>
      <c r="AU138" s="369" t="str">
        <f t="shared" si="109"/>
        <v/>
      </c>
      <c r="AV138" s="369" t="str">
        <f t="shared" si="109"/>
        <v/>
      </c>
      <c r="AW138" s="369" t="str">
        <f t="shared" si="109"/>
        <v/>
      </c>
      <c r="AX138" s="369" t="str">
        <f t="shared" si="109"/>
        <v/>
      </c>
      <c r="AY138" s="369" t="str">
        <f t="shared" si="109"/>
        <v/>
      </c>
      <c r="AZ138" s="369" t="str">
        <f t="shared" si="109"/>
        <v/>
      </c>
      <c r="BA138" s="369" t="str">
        <f t="shared" si="109"/>
        <v/>
      </c>
      <c r="BB138" s="278">
        <f t="shared" ref="BB138:BB145" si="110">STDEV(B138:BA138)</f>
        <v>1.063790043238664</v>
      </c>
    </row>
    <row r="139" spans="1:54">
      <c r="A139" s="336">
        <f t="shared" si="104"/>
        <v>0.5</v>
      </c>
      <c r="B139" s="369">
        <f t="shared" si="105"/>
        <v>4.7777777777777777</v>
      </c>
      <c r="C139" s="369">
        <f t="shared" ref="C139:Q139" si="111">IF(C69=0,"",C69)</f>
        <v>6.7777777777777777</v>
      </c>
      <c r="D139" s="369">
        <f t="shared" si="111"/>
        <v>6.7777777777777777</v>
      </c>
      <c r="E139" s="369">
        <f t="shared" si="111"/>
        <v>8.7777777777777786</v>
      </c>
      <c r="F139" s="369">
        <f t="shared" si="111"/>
        <v>8.7222222222222214</v>
      </c>
      <c r="G139" s="369">
        <f t="shared" si="111"/>
        <v>8.0555555555555554</v>
      </c>
      <c r="H139" s="369">
        <f t="shared" si="111"/>
        <v>6.7777777777777777</v>
      </c>
      <c r="I139" s="369">
        <f t="shared" si="111"/>
        <v>4.8</v>
      </c>
      <c r="J139" s="369">
        <f t="shared" si="111"/>
        <v>6.8</v>
      </c>
      <c r="K139" s="369">
        <f t="shared" si="111"/>
        <v>10.3</v>
      </c>
      <c r="L139" s="369">
        <f t="shared" si="111"/>
        <v>8.1999999999999993</v>
      </c>
      <c r="M139" s="369">
        <f t="shared" si="111"/>
        <v>8.6999999999999993</v>
      </c>
      <c r="N139" s="369">
        <f t="shared" si="111"/>
        <v>6</v>
      </c>
      <c r="O139" s="369" t="str">
        <f t="shared" si="111"/>
        <v/>
      </c>
      <c r="P139" s="369">
        <f t="shared" si="111"/>
        <v>7.4</v>
      </c>
      <c r="Q139" s="369" t="str">
        <f t="shared" si="111"/>
        <v/>
      </c>
      <c r="R139" s="369" t="str">
        <f t="shared" ref="R139:BA139" si="112">IF(R69=0,"",R69)</f>
        <v/>
      </c>
      <c r="S139" s="369" t="str">
        <f t="shared" si="112"/>
        <v/>
      </c>
      <c r="T139" s="369" t="str">
        <f t="shared" si="112"/>
        <v/>
      </c>
      <c r="U139" s="369" t="str">
        <f t="shared" si="112"/>
        <v/>
      </c>
      <c r="V139" s="369" t="str">
        <f t="shared" si="112"/>
        <v/>
      </c>
      <c r="W139" s="369" t="str">
        <f t="shared" si="112"/>
        <v/>
      </c>
      <c r="X139" s="369" t="str">
        <f t="shared" si="112"/>
        <v/>
      </c>
      <c r="Y139" s="369" t="str">
        <f t="shared" si="112"/>
        <v/>
      </c>
      <c r="Z139" s="369" t="str">
        <f t="shared" si="112"/>
        <v/>
      </c>
      <c r="AA139" s="369" t="str">
        <f t="shared" si="112"/>
        <v/>
      </c>
      <c r="AB139" s="369" t="str">
        <f t="shared" si="112"/>
        <v/>
      </c>
      <c r="AC139" s="369" t="str">
        <f t="shared" si="112"/>
        <v/>
      </c>
      <c r="AD139" s="369" t="str">
        <f t="shared" si="112"/>
        <v/>
      </c>
      <c r="AE139" s="369" t="str">
        <f t="shared" si="112"/>
        <v/>
      </c>
      <c r="AF139" s="369" t="str">
        <f t="shared" si="112"/>
        <v/>
      </c>
      <c r="AG139" s="369" t="str">
        <f t="shared" si="112"/>
        <v/>
      </c>
      <c r="AH139" s="369" t="str">
        <f t="shared" si="112"/>
        <v/>
      </c>
      <c r="AI139" s="369" t="str">
        <f t="shared" si="112"/>
        <v/>
      </c>
      <c r="AJ139" s="369" t="str">
        <f t="shared" si="112"/>
        <v/>
      </c>
      <c r="AK139" s="369" t="str">
        <f t="shared" si="112"/>
        <v/>
      </c>
      <c r="AL139" s="369" t="str">
        <f t="shared" si="112"/>
        <v/>
      </c>
      <c r="AM139" s="369" t="str">
        <f t="shared" si="112"/>
        <v/>
      </c>
      <c r="AN139" s="369" t="str">
        <f t="shared" si="112"/>
        <v/>
      </c>
      <c r="AO139" s="369" t="str">
        <f t="shared" si="112"/>
        <v/>
      </c>
      <c r="AP139" s="369" t="str">
        <f t="shared" si="112"/>
        <v/>
      </c>
      <c r="AQ139" s="369" t="str">
        <f t="shared" si="112"/>
        <v/>
      </c>
      <c r="AR139" s="369" t="str">
        <f t="shared" si="112"/>
        <v/>
      </c>
      <c r="AS139" s="369" t="str">
        <f t="shared" si="112"/>
        <v/>
      </c>
      <c r="AT139" s="369" t="str">
        <f t="shared" si="112"/>
        <v/>
      </c>
      <c r="AU139" s="369" t="str">
        <f t="shared" si="112"/>
        <v/>
      </c>
      <c r="AV139" s="369" t="str">
        <f t="shared" si="112"/>
        <v/>
      </c>
      <c r="AW139" s="369" t="str">
        <f t="shared" si="112"/>
        <v/>
      </c>
      <c r="AX139" s="369" t="str">
        <f t="shared" si="112"/>
        <v/>
      </c>
      <c r="AY139" s="369" t="str">
        <f t="shared" si="112"/>
        <v/>
      </c>
      <c r="AZ139" s="369" t="str">
        <f t="shared" si="112"/>
        <v/>
      </c>
      <c r="BA139" s="369" t="str">
        <f t="shared" si="112"/>
        <v/>
      </c>
      <c r="BB139" s="278">
        <f t="shared" si="110"/>
        <v>1.5663631188712528</v>
      </c>
    </row>
    <row r="140" spans="1:54">
      <c r="A140" s="336">
        <f t="shared" si="104"/>
        <v>0.60416666666666663</v>
      </c>
      <c r="B140" s="369">
        <f t="shared" si="105"/>
        <v>10.611111111111111</v>
      </c>
      <c r="C140" s="369">
        <f t="shared" ref="C140:Q140" si="113">IF(C70=0,"",C70)</f>
        <v>6.2222222222222223</v>
      </c>
      <c r="D140" s="369">
        <f t="shared" si="113"/>
        <v>6.3888888888888893</v>
      </c>
      <c r="E140" s="369">
        <f t="shared" si="113"/>
        <v>5.3888888888888893</v>
      </c>
      <c r="F140" s="369" t="str">
        <f t="shared" si="113"/>
        <v/>
      </c>
      <c r="G140" s="369">
        <f t="shared" si="113"/>
        <v>7.0555555555555554</v>
      </c>
      <c r="H140" s="369">
        <f t="shared" si="113"/>
        <v>8.7222222222222214</v>
      </c>
      <c r="I140" s="369">
        <f t="shared" si="113"/>
        <v>10.6</v>
      </c>
      <c r="J140" s="369">
        <f t="shared" si="113"/>
        <v>6.2</v>
      </c>
      <c r="K140" s="369">
        <f t="shared" si="113"/>
        <v>6.8</v>
      </c>
      <c r="L140" s="369">
        <f t="shared" si="113"/>
        <v>5.4</v>
      </c>
      <c r="M140" s="369" t="str">
        <f t="shared" si="113"/>
        <v/>
      </c>
      <c r="N140" s="369">
        <f t="shared" si="113"/>
        <v>4.5</v>
      </c>
      <c r="O140" s="369" t="str">
        <f t="shared" si="113"/>
        <v/>
      </c>
      <c r="P140" s="369">
        <f t="shared" si="113"/>
        <v>6</v>
      </c>
      <c r="Q140" s="369" t="str">
        <f t="shared" si="113"/>
        <v/>
      </c>
      <c r="R140" s="369" t="str">
        <f t="shared" ref="R140:BA140" si="114">IF(R70=0,"",R70)</f>
        <v/>
      </c>
      <c r="S140" s="369" t="str">
        <f t="shared" si="114"/>
        <v/>
      </c>
      <c r="T140" s="369" t="str">
        <f t="shared" si="114"/>
        <v/>
      </c>
      <c r="U140" s="369" t="str">
        <f t="shared" si="114"/>
        <v/>
      </c>
      <c r="V140" s="369" t="str">
        <f t="shared" si="114"/>
        <v/>
      </c>
      <c r="W140" s="369" t="str">
        <f t="shared" si="114"/>
        <v/>
      </c>
      <c r="X140" s="369" t="str">
        <f t="shared" si="114"/>
        <v/>
      </c>
      <c r="Y140" s="369" t="str">
        <f t="shared" si="114"/>
        <v/>
      </c>
      <c r="Z140" s="369" t="str">
        <f t="shared" si="114"/>
        <v/>
      </c>
      <c r="AA140" s="369" t="str">
        <f t="shared" si="114"/>
        <v/>
      </c>
      <c r="AB140" s="369" t="str">
        <f t="shared" si="114"/>
        <v/>
      </c>
      <c r="AC140" s="369" t="str">
        <f t="shared" si="114"/>
        <v/>
      </c>
      <c r="AD140" s="369" t="str">
        <f t="shared" si="114"/>
        <v/>
      </c>
      <c r="AE140" s="369" t="str">
        <f t="shared" si="114"/>
        <v/>
      </c>
      <c r="AF140" s="369" t="str">
        <f t="shared" si="114"/>
        <v/>
      </c>
      <c r="AG140" s="369" t="str">
        <f t="shared" si="114"/>
        <v/>
      </c>
      <c r="AH140" s="369" t="str">
        <f t="shared" si="114"/>
        <v/>
      </c>
      <c r="AI140" s="369" t="str">
        <f t="shared" si="114"/>
        <v/>
      </c>
      <c r="AJ140" s="369" t="str">
        <f t="shared" si="114"/>
        <v/>
      </c>
      <c r="AK140" s="369" t="str">
        <f t="shared" si="114"/>
        <v/>
      </c>
      <c r="AL140" s="369" t="str">
        <f t="shared" si="114"/>
        <v/>
      </c>
      <c r="AM140" s="369" t="str">
        <f t="shared" si="114"/>
        <v/>
      </c>
      <c r="AN140" s="369" t="str">
        <f t="shared" si="114"/>
        <v/>
      </c>
      <c r="AO140" s="369" t="str">
        <f t="shared" si="114"/>
        <v/>
      </c>
      <c r="AP140" s="369" t="str">
        <f t="shared" si="114"/>
        <v/>
      </c>
      <c r="AQ140" s="369" t="str">
        <f t="shared" si="114"/>
        <v/>
      </c>
      <c r="AR140" s="369" t="str">
        <f t="shared" si="114"/>
        <v/>
      </c>
      <c r="AS140" s="369" t="str">
        <f t="shared" si="114"/>
        <v/>
      </c>
      <c r="AT140" s="369" t="str">
        <f t="shared" si="114"/>
        <v/>
      </c>
      <c r="AU140" s="369" t="str">
        <f t="shared" si="114"/>
        <v/>
      </c>
      <c r="AV140" s="369" t="str">
        <f t="shared" si="114"/>
        <v/>
      </c>
      <c r="AW140" s="369" t="str">
        <f t="shared" si="114"/>
        <v/>
      </c>
      <c r="AX140" s="369" t="str">
        <f t="shared" si="114"/>
        <v/>
      </c>
      <c r="AY140" s="369" t="str">
        <f t="shared" si="114"/>
        <v/>
      </c>
      <c r="AZ140" s="369" t="str">
        <f t="shared" si="114"/>
        <v/>
      </c>
      <c r="BA140" s="369" t="str">
        <f t="shared" si="114"/>
        <v/>
      </c>
      <c r="BB140" s="278">
        <f t="shared" si="110"/>
        <v>1.9778846488736097</v>
      </c>
    </row>
    <row r="141" spans="1:54">
      <c r="A141" s="336">
        <f t="shared" si="104"/>
        <v>0.72916666666666663</v>
      </c>
      <c r="B141" s="369">
        <f t="shared" si="105"/>
        <v>6.9444444444444446</v>
      </c>
      <c r="C141" s="369">
        <f t="shared" ref="C141:Q141" si="115">IF(C71=0,"",C71)</f>
        <v>8.2777777777777786</v>
      </c>
      <c r="D141" s="369">
        <f t="shared" si="115"/>
        <v>7.0555555555555554</v>
      </c>
      <c r="E141" s="369">
        <f t="shared" si="115"/>
        <v>5</v>
      </c>
      <c r="F141" s="369">
        <f t="shared" si="115"/>
        <v>9.1666666666666661</v>
      </c>
      <c r="G141" s="369">
        <f t="shared" si="115"/>
        <v>6</v>
      </c>
      <c r="H141" s="369">
        <f t="shared" si="115"/>
        <v>9.1666666666666661</v>
      </c>
      <c r="I141" s="369">
        <f t="shared" si="115"/>
        <v>6.9</v>
      </c>
      <c r="J141" s="369">
        <f t="shared" si="115"/>
        <v>8.1999999999999993</v>
      </c>
      <c r="K141" s="369">
        <f t="shared" si="115"/>
        <v>6.4</v>
      </c>
      <c r="L141" s="369">
        <f t="shared" si="115"/>
        <v>5</v>
      </c>
      <c r="M141" s="369">
        <f t="shared" si="115"/>
        <v>9.1999999999999993</v>
      </c>
      <c r="N141" s="369">
        <f t="shared" si="115"/>
        <v>4.9000000000000004</v>
      </c>
      <c r="O141" s="369">
        <f t="shared" si="115"/>
        <v>6.8</v>
      </c>
      <c r="P141" s="369">
        <f t="shared" si="115"/>
        <v>8.1999999999999993</v>
      </c>
      <c r="Q141" s="369" t="str">
        <f t="shared" si="115"/>
        <v/>
      </c>
      <c r="R141" s="369" t="str">
        <f t="shared" ref="C141:BA145" si="116">IF(R71=0,"",R71)</f>
        <v/>
      </c>
      <c r="S141" s="369" t="str">
        <f t="shared" si="116"/>
        <v/>
      </c>
      <c r="T141" s="369" t="str">
        <f t="shared" si="116"/>
        <v/>
      </c>
      <c r="U141" s="369" t="str">
        <f t="shared" si="116"/>
        <v/>
      </c>
      <c r="V141" s="369" t="str">
        <f t="shared" si="116"/>
        <v/>
      </c>
      <c r="W141" s="369" t="str">
        <f t="shared" si="116"/>
        <v/>
      </c>
      <c r="X141" s="369" t="str">
        <f t="shared" si="116"/>
        <v/>
      </c>
      <c r="Y141" s="369" t="str">
        <f t="shared" si="116"/>
        <v/>
      </c>
      <c r="Z141" s="369" t="str">
        <f t="shared" si="116"/>
        <v/>
      </c>
      <c r="AA141" s="369" t="str">
        <f t="shared" si="116"/>
        <v/>
      </c>
      <c r="AB141" s="369" t="str">
        <f t="shared" si="116"/>
        <v/>
      </c>
      <c r="AC141" s="369" t="str">
        <f t="shared" si="116"/>
        <v/>
      </c>
      <c r="AD141" s="369" t="str">
        <f t="shared" si="116"/>
        <v/>
      </c>
      <c r="AE141" s="369" t="str">
        <f t="shared" si="116"/>
        <v/>
      </c>
      <c r="AF141" s="369" t="str">
        <f t="shared" si="116"/>
        <v/>
      </c>
      <c r="AG141" s="369" t="str">
        <f t="shared" si="116"/>
        <v/>
      </c>
      <c r="AH141" s="369" t="str">
        <f t="shared" si="116"/>
        <v/>
      </c>
      <c r="AI141" s="369" t="str">
        <f t="shared" si="116"/>
        <v/>
      </c>
      <c r="AJ141" s="369" t="str">
        <f t="shared" si="116"/>
        <v/>
      </c>
      <c r="AK141" s="369" t="str">
        <f t="shared" si="116"/>
        <v/>
      </c>
      <c r="AL141" s="369" t="str">
        <f t="shared" si="116"/>
        <v/>
      </c>
      <c r="AM141" s="369" t="str">
        <f t="shared" si="116"/>
        <v/>
      </c>
      <c r="AN141" s="369" t="str">
        <f t="shared" si="116"/>
        <v/>
      </c>
      <c r="AO141" s="369" t="str">
        <f t="shared" si="116"/>
        <v/>
      </c>
      <c r="AP141" s="369" t="str">
        <f t="shared" si="116"/>
        <v/>
      </c>
      <c r="AQ141" s="369" t="str">
        <f t="shared" si="116"/>
        <v/>
      </c>
      <c r="AR141" s="369" t="str">
        <f t="shared" si="116"/>
        <v/>
      </c>
      <c r="AS141" s="369" t="str">
        <f t="shared" si="116"/>
        <v/>
      </c>
      <c r="AT141" s="369" t="str">
        <f t="shared" si="116"/>
        <v/>
      </c>
      <c r="AU141" s="369" t="str">
        <f t="shared" si="116"/>
        <v/>
      </c>
      <c r="AV141" s="369" t="str">
        <f t="shared" si="116"/>
        <v/>
      </c>
      <c r="AW141" s="369" t="str">
        <f t="shared" si="116"/>
        <v/>
      </c>
      <c r="AX141" s="369" t="str">
        <f t="shared" si="116"/>
        <v/>
      </c>
      <c r="AY141" s="369" t="str">
        <f t="shared" si="116"/>
        <v/>
      </c>
      <c r="AZ141" s="369" t="str">
        <f t="shared" si="116"/>
        <v/>
      </c>
      <c r="BA141" s="369" t="str">
        <f t="shared" si="116"/>
        <v/>
      </c>
      <c r="BB141" s="278">
        <f t="shared" si="110"/>
        <v>1.5175601569954078</v>
      </c>
    </row>
    <row r="142" spans="1:54">
      <c r="A142" s="336">
        <f t="shared" si="104"/>
        <v>0.83333333333333337</v>
      </c>
      <c r="B142" s="369">
        <f t="shared" si="105"/>
        <v>7.7222222222222223</v>
      </c>
      <c r="C142" s="369">
        <f t="shared" si="116"/>
        <v>10.722222222222221</v>
      </c>
      <c r="D142" s="369" t="str">
        <f t="shared" si="116"/>
        <v/>
      </c>
      <c r="E142" s="369">
        <f t="shared" si="116"/>
        <v>11.944444444444445</v>
      </c>
      <c r="F142" s="369">
        <f t="shared" si="116"/>
        <v>10.666666666666666</v>
      </c>
      <c r="G142" s="369">
        <f t="shared" si="116"/>
        <v>5.9444444444444446</v>
      </c>
      <c r="H142" s="369">
        <f t="shared" si="116"/>
        <v>10.722222222222221</v>
      </c>
      <c r="I142" s="369">
        <f t="shared" si="116"/>
        <v>7.7</v>
      </c>
      <c r="J142" s="369">
        <f t="shared" si="116"/>
        <v>10.7</v>
      </c>
      <c r="K142" s="369">
        <f t="shared" si="116"/>
        <v>7</v>
      </c>
      <c r="L142" s="369">
        <f t="shared" si="116"/>
        <v>11.9</v>
      </c>
      <c r="M142" s="369">
        <f t="shared" si="116"/>
        <v>10.8</v>
      </c>
      <c r="N142" s="369">
        <f t="shared" si="116"/>
        <v>5.2</v>
      </c>
      <c r="O142" s="369">
        <f t="shared" si="116"/>
        <v>5.2</v>
      </c>
      <c r="P142" s="369">
        <f t="shared" si="116"/>
        <v>8.6999999999999993</v>
      </c>
      <c r="Q142" s="369" t="str">
        <f t="shared" si="116"/>
        <v/>
      </c>
      <c r="R142" s="369" t="str">
        <f t="shared" si="116"/>
        <v/>
      </c>
      <c r="S142" s="369" t="str">
        <f t="shared" si="116"/>
        <v/>
      </c>
      <c r="T142" s="369" t="str">
        <f t="shared" si="116"/>
        <v/>
      </c>
      <c r="U142" s="369" t="str">
        <f t="shared" si="116"/>
        <v/>
      </c>
      <c r="V142" s="369" t="str">
        <f t="shared" si="116"/>
        <v/>
      </c>
      <c r="W142" s="369" t="str">
        <f t="shared" si="116"/>
        <v/>
      </c>
      <c r="X142" s="369" t="str">
        <f t="shared" si="116"/>
        <v/>
      </c>
      <c r="Y142" s="369" t="str">
        <f t="shared" si="116"/>
        <v/>
      </c>
      <c r="Z142" s="369" t="str">
        <f t="shared" si="116"/>
        <v/>
      </c>
      <c r="AA142" s="369" t="str">
        <f t="shared" si="116"/>
        <v/>
      </c>
      <c r="AB142" s="369" t="str">
        <f t="shared" si="116"/>
        <v/>
      </c>
      <c r="AC142" s="369" t="str">
        <f t="shared" si="116"/>
        <v/>
      </c>
      <c r="AD142" s="369" t="str">
        <f t="shared" si="116"/>
        <v/>
      </c>
      <c r="AE142" s="369" t="str">
        <f t="shared" si="116"/>
        <v/>
      </c>
      <c r="AF142" s="369" t="str">
        <f t="shared" si="116"/>
        <v/>
      </c>
      <c r="AG142" s="369" t="str">
        <f t="shared" si="116"/>
        <v/>
      </c>
      <c r="AH142" s="369" t="str">
        <f t="shared" si="116"/>
        <v/>
      </c>
      <c r="AI142" s="369" t="str">
        <f t="shared" si="116"/>
        <v/>
      </c>
      <c r="AJ142" s="369" t="str">
        <f t="shared" si="116"/>
        <v/>
      </c>
      <c r="AK142" s="369" t="str">
        <f t="shared" si="116"/>
        <v/>
      </c>
      <c r="AL142" s="369" t="str">
        <f t="shared" si="116"/>
        <v/>
      </c>
      <c r="AM142" s="369" t="str">
        <f t="shared" si="116"/>
        <v/>
      </c>
      <c r="AN142" s="369" t="str">
        <f t="shared" si="116"/>
        <v/>
      </c>
      <c r="AO142" s="369" t="str">
        <f t="shared" si="116"/>
        <v/>
      </c>
      <c r="AP142" s="369" t="str">
        <f t="shared" si="116"/>
        <v/>
      </c>
      <c r="AQ142" s="369" t="str">
        <f t="shared" si="116"/>
        <v/>
      </c>
      <c r="AR142" s="369" t="str">
        <f t="shared" si="116"/>
        <v/>
      </c>
      <c r="AS142" s="369" t="str">
        <f t="shared" si="116"/>
        <v/>
      </c>
      <c r="AT142" s="369" t="str">
        <f t="shared" si="116"/>
        <v/>
      </c>
      <c r="AU142" s="369" t="str">
        <f t="shared" si="116"/>
        <v/>
      </c>
      <c r="AV142" s="369" t="str">
        <f t="shared" si="116"/>
        <v/>
      </c>
      <c r="AW142" s="369" t="str">
        <f t="shared" si="116"/>
        <v/>
      </c>
      <c r="AX142" s="369" t="str">
        <f t="shared" si="116"/>
        <v/>
      </c>
      <c r="AY142" s="369" t="str">
        <f t="shared" si="116"/>
        <v/>
      </c>
      <c r="AZ142" s="369" t="str">
        <f t="shared" si="116"/>
        <v/>
      </c>
      <c r="BA142" s="369" t="str">
        <f t="shared" si="116"/>
        <v/>
      </c>
      <c r="BB142" s="278">
        <f t="shared" si="110"/>
        <v>2.441087299526012</v>
      </c>
    </row>
    <row r="143" spans="1:54">
      <c r="A143" s="336">
        <f t="shared" si="104"/>
        <v>0.95833333333333337</v>
      </c>
      <c r="B143" s="369">
        <f t="shared" si="105"/>
        <v>7.3888888888888893</v>
      </c>
      <c r="C143" s="369">
        <f t="shared" si="116"/>
        <v>9</v>
      </c>
      <c r="D143" s="369">
        <f t="shared" si="116"/>
        <v>7.5555555555555554</v>
      </c>
      <c r="E143" s="369">
        <f t="shared" si="116"/>
        <v>5.2777777777777777</v>
      </c>
      <c r="F143" s="369">
        <f t="shared" si="116"/>
        <v>9.7222222222222214</v>
      </c>
      <c r="G143" s="369">
        <f t="shared" si="116"/>
        <v>10</v>
      </c>
      <c r="H143" s="369">
        <f t="shared" si="116"/>
        <v>7.2222222222222223</v>
      </c>
      <c r="I143" s="369">
        <f t="shared" si="116"/>
        <v>7.4</v>
      </c>
      <c r="J143" s="369">
        <f t="shared" si="116"/>
        <v>9</v>
      </c>
      <c r="K143" s="369">
        <f t="shared" si="116"/>
        <v>7.6</v>
      </c>
      <c r="L143" s="369">
        <f t="shared" si="116"/>
        <v>5.3</v>
      </c>
      <c r="M143" s="369">
        <f t="shared" si="116"/>
        <v>9.6999999999999993</v>
      </c>
      <c r="N143" s="369" t="str">
        <f t="shared" si="116"/>
        <v/>
      </c>
      <c r="O143" s="369">
        <f t="shared" si="116"/>
        <v>5.3</v>
      </c>
      <c r="P143" s="369">
        <f t="shared" si="116"/>
        <v>7.9</v>
      </c>
      <c r="Q143" s="369" t="str">
        <f t="shared" si="116"/>
        <v/>
      </c>
      <c r="R143" s="369" t="str">
        <f t="shared" si="116"/>
        <v/>
      </c>
      <c r="S143" s="369" t="str">
        <f t="shared" si="116"/>
        <v/>
      </c>
      <c r="T143" s="369" t="str">
        <f t="shared" si="116"/>
        <v/>
      </c>
      <c r="U143" s="369" t="str">
        <f t="shared" si="116"/>
        <v/>
      </c>
      <c r="V143" s="369" t="str">
        <f t="shared" si="116"/>
        <v/>
      </c>
      <c r="W143" s="369" t="str">
        <f t="shared" si="116"/>
        <v/>
      </c>
      <c r="X143" s="369" t="str">
        <f t="shared" si="116"/>
        <v/>
      </c>
      <c r="Y143" s="369" t="str">
        <f t="shared" si="116"/>
        <v/>
      </c>
      <c r="Z143" s="369" t="str">
        <f t="shared" si="116"/>
        <v/>
      </c>
      <c r="AA143" s="369" t="str">
        <f t="shared" si="116"/>
        <v/>
      </c>
      <c r="AB143" s="369" t="str">
        <f t="shared" si="116"/>
        <v/>
      </c>
      <c r="AC143" s="369" t="str">
        <f t="shared" si="116"/>
        <v/>
      </c>
      <c r="AD143" s="369" t="str">
        <f t="shared" si="116"/>
        <v/>
      </c>
      <c r="AE143" s="369" t="str">
        <f t="shared" si="116"/>
        <v/>
      </c>
      <c r="AF143" s="369" t="str">
        <f t="shared" si="116"/>
        <v/>
      </c>
      <c r="AG143" s="369" t="str">
        <f t="shared" si="116"/>
        <v/>
      </c>
      <c r="AH143" s="369" t="str">
        <f t="shared" si="116"/>
        <v/>
      </c>
      <c r="AI143" s="369" t="str">
        <f t="shared" si="116"/>
        <v/>
      </c>
      <c r="AJ143" s="369" t="str">
        <f t="shared" si="116"/>
        <v/>
      </c>
      <c r="AK143" s="369" t="str">
        <f t="shared" si="116"/>
        <v/>
      </c>
      <c r="AL143" s="369" t="str">
        <f t="shared" si="116"/>
        <v/>
      </c>
      <c r="AM143" s="369" t="str">
        <f t="shared" si="116"/>
        <v/>
      </c>
      <c r="AN143" s="369" t="str">
        <f t="shared" si="116"/>
        <v/>
      </c>
      <c r="AO143" s="369" t="str">
        <f t="shared" si="116"/>
        <v/>
      </c>
      <c r="AP143" s="369" t="str">
        <f t="shared" si="116"/>
        <v/>
      </c>
      <c r="AQ143" s="369" t="str">
        <f t="shared" si="116"/>
        <v/>
      </c>
      <c r="AR143" s="369" t="str">
        <f t="shared" si="116"/>
        <v/>
      </c>
      <c r="AS143" s="369" t="str">
        <f t="shared" si="116"/>
        <v/>
      </c>
      <c r="AT143" s="369" t="str">
        <f t="shared" si="116"/>
        <v/>
      </c>
      <c r="AU143" s="369" t="str">
        <f t="shared" si="116"/>
        <v/>
      </c>
      <c r="AV143" s="369" t="str">
        <f t="shared" si="116"/>
        <v/>
      </c>
      <c r="AW143" s="369" t="str">
        <f t="shared" si="116"/>
        <v/>
      </c>
      <c r="AX143" s="369" t="str">
        <f t="shared" si="116"/>
        <v/>
      </c>
      <c r="AY143" s="369" t="str">
        <f t="shared" si="116"/>
        <v/>
      </c>
      <c r="AZ143" s="369" t="str">
        <f t="shared" si="116"/>
        <v/>
      </c>
      <c r="BA143" s="369" t="str">
        <f t="shared" si="116"/>
        <v/>
      </c>
      <c r="BB143" s="278">
        <f t="shared" si="110"/>
        <v>1.6316469411625458</v>
      </c>
    </row>
    <row r="144" spans="1:54">
      <c r="A144" s="336" t="str">
        <f t="shared" si="104"/>
        <v>Nacht</v>
      </c>
      <c r="B144" s="369">
        <f t="shared" si="105"/>
        <v>5.8888888888888893</v>
      </c>
      <c r="C144" s="369">
        <f t="shared" si="116"/>
        <v>5.666666666666667</v>
      </c>
      <c r="D144" s="369">
        <f t="shared" si="116"/>
        <v>6.5</v>
      </c>
      <c r="E144" s="369">
        <f t="shared" si="116"/>
        <v>6.5555555555555554</v>
      </c>
      <c r="F144" s="369">
        <f t="shared" si="116"/>
        <v>6.5</v>
      </c>
      <c r="G144" s="369">
        <f t="shared" si="116"/>
        <v>5.2777777777777777</v>
      </c>
      <c r="H144" s="369">
        <f t="shared" si="116"/>
        <v>5.5555555555555554</v>
      </c>
      <c r="I144" s="369">
        <f t="shared" si="116"/>
        <v>5.9</v>
      </c>
      <c r="J144" s="369">
        <f t="shared" si="116"/>
        <v>5.8</v>
      </c>
      <c r="K144" s="369">
        <f t="shared" si="116"/>
        <v>6.5</v>
      </c>
      <c r="L144" s="369">
        <f t="shared" si="116"/>
        <v>6.6</v>
      </c>
      <c r="M144" s="369">
        <f t="shared" si="116"/>
        <v>6.5</v>
      </c>
      <c r="N144" s="369" t="str">
        <f t="shared" si="116"/>
        <v/>
      </c>
      <c r="O144" s="369">
        <f t="shared" si="116"/>
        <v>5.8</v>
      </c>
      <c r="P144" s="369">
        <f t="shared" si="116"/>
        <v>6.1</v>
      </c>
      <c r="Q144" s="369" t="str">
        <f t="shared" si="116"/>
        <v/>
      </c>
      <c r="R144" s="369" t="str">
        <f t="shared" si="116"/>
        <v/>
      </c>
      <c r="S144" s="369" t="str">
        <f t="shared" si="116"/>
        <v/>
      </c>
      <c r="T144" s="369" t="str">
        <f t="shared" si="116"/>
        <v/>
      </c>
      <c r="U144" s="369" t="str">
        <f t="shared" si="116"/>
        <v/>
      </c>
      <c r="V144" s="369" t="str">
        <f t="shared" si="116"/>
        <v/>
      </c>
      <c r="W144" s="369" t="str">
        <f t="shared" si="116"/>
        <v/>
      </c>
      <c r="X144" s="369" t="str">
        <f t="shared" si="116"/>
        <v/>
      </c>
      <c r="Y144" s="369" t="str">
        <f t="shared" si="116"/>
        <v/>
      </c>
      <c r="Z144" s="369" t="str">
        <f t="shared" si="116"/>
        <v/>
      </c>
      <c r="AA144" s="369" t="str">
        <f t="shared" si="116"/>
        <v/>
      </c>
      <c r="AB144" s="369" t="str">
        <f t="shared" si="116"/>
        <v/>
      </c>
      <c r="AC144" s="369" t="str">
        <f t="shared" si="116"/>
        <v/>
      </c>
      <c r="AD144" s="369" t="str">
        <f t="shared" si="116"/>
        <v/>
      </c>
      <c r="AE144" s="369" t="str">
        <f t="shared" si="116"/>
        <v/>
      </c>
      <c r="AF144" s="369" t="str">
        <f t="shared" si="116"/>
        <v/>
      </c>
      <c r="AG144" s="369" t="str">
        <f t="shared" si="116"/>
        <v/>
      </c>
      <c r="AH144" s="369" t="str">
        <f t="shared" si="116"/>
        <v/>
      </c>
      <c r="AI144" s="369" t="str">
        <f t="shared" si="116"/>
        <v/>
      </c>
      <c r="AJ144" s="369" t="str">
        <f t="shared" si="116"/>
        <v/>
      </c>
      <c r="AK144" s="369" t="str">
        <f t="shared" si="116"/>
        <v/>
      </c>
      <c r="AL144" s="369" t="str">
        <f t="shared" si="116"/>
        <v/>
      </c>
      <c r="AM144" s="369" t="str">
        <f t="shared" si="116"/>
        <v/>
      </c>
      <c r="AN144" s="369" t="str">
        <f t="shared" si="116"/>
        <v/>
      </c>
      <c r="AO144" s="369" t="str">
        <f t="shared" si="116"/>
        <v/>
      </c>
      <c r="AP144" s="369" t="str">
        <f t="shared" si="116"/>
        <v/>
      </c>
      <c r="AQ144" s="369" t="str">
        <f t="shared" si="116"/>
        <v/>
      </c>
      <c r="AR144" s="369" t="str">
        <f t="shared" si="116"/>
        <v/>
      </c>
      <c r="AS144" s="369" t="str">
        <f t="shared" si="116"/>
        <v/>
      </c>
      <c r="AT144" s="369" t="str">
        <f t="shared" si="116"/>
        <v/>
      </c>
      <c r="AU144" s="369" t="str">
        <f t="shared" si="116"/>
        <v/>
      </c>
      <c r="AV144" s="369" t="str">
        <f t="shared" si="116"/>
        <v/>
      </c>
      <c r="AW144" s="369" t="str">
        <f t="shared" si="116"/>
        <v/>
      </c>
      <c r="AX144" s="369" t="str">
        <f t="shared" si="116"/>
        <v/>
      </c>
      <c r="AY144" s="369" t="str">
        <f t="shared" si="116"/>
        <v/>
      </c>
      <c r="AZ144" s="369" t="str">
        <f t="shared" si="116"/>
        <v/>
      </c>
      <c r="BA144" s="369" t="str">
        <f t="shared" si="116"/>
        <v/>
      </c>
      <c r="BB144" s="278">
        <f t="shared" si="110"/>
        <v>0.44007698417559321</v>
      </c>
    </row>
    <row r="145" spans="1:54" ht="14" thickBot="1">
      <c r="A145" s="336" t="str">
        <f t="shared" si="104"/>
        <v>Früh</v>
      </c>
      <c r="B145" s="370">
        <f t="shared" si="105"/>
        <v>6.166666666666667</v>
      </c>
      <c r="C145" s="370">
        <f t="shared" si="116"/>
        <v>6.1111111111111107</v>
      </c>
      <c r="D145" s="370">
        <f t="shared" si="116"/>
        <v>6</v>
      </c>
      <c r="E145" s="370">
        <f t="shared" si="116"/>
        <v>6.2222222222222223</v>
      </c>
      <c r="F145" s="370">
        <f t="shared" si="116"/>
        <v>6</v>
      </c>
      <c r="G145" s="370">
        <f t="shared" si="116"/>
        <v>6.2777777777777777</v>
      </c>
      <c r="H145" s="370">
        <f t="shared" si="116"/>
        <v>6.2222222222222223</v>
      </c>
      <c r="I145" s="370" t="str">
        <f t="shared" si="116"/>
        <v/>
      </c>
      <c r="J145" s="370" t="str">
        <f t="shared" si="116"/>
        <v/>
      </c>
      <c r="K145" s="370">
        <f t="shared" si="116"/>
        <v>6</v>
      </c>
      <c r="L145" s="370">
        <f t="shared" si="116"/>
        <v>6.2</v>
      </c>
      <c r="M145" s="370" t="str">
        <f t="shared" si="116"/>
        <v/>
      </c>
      <c r="N145" s="370" t="str">
        <f t="shared" si="116"/>
        <v/>
      </c>
      <c r="O145" s="370">
        <f t="shared" si="116"/>
        <v>6.2</v>
      </c>
      <c r="P145" s="370">
        <f t="shared" si="116"/>
        <v>6.3</v>
      </c>
      <c r="Q145" s="370" t="str">
        <f t="shared" si="116"/>
        <v/>
      </c>
      <c r="R145" s="370" t="str">
        <f t="shared" si="116"/>
        <v/>
      </c>
      <c r="S145" s="370" t="str">
        <f t="shared" si="116"/>
        <v/>
      </c>
      <c r="T145" s="370" t="str">
        <f t="shared" si="116"/>
        <v/>
      </c>
      <c r="U145" s="370" t="str">
        <f t="shared" si="116"/>
        <v/>
      </c>
      <c r="V145" s="370" t="str">
        <f t="shared" si="116"/>
        <v/>
      </c>
      <c r="W145" s="370" t="str">
        <f t="shared" si="116"/>
        <v/>
      </c>
      <c r="X145" s="370" t="str">
        <f t="shared" si="116"/>
        <v/>
      </c>
      <c r="Y145" s="370" t="str">
        <f t="shared" si="116"/>
        <v/>
      </c>
      <c r="Z145" s="370" t="str">
        <f t="shared" si="116"/>
        <v/>
      </c>
      <c r="AA145" s="370" t="str">
        <f t="shared" si="116"/>
        <v/>
      </c>
      <c r="AB145" s="370" t="str">
        <f t="shared" si="116"/>
        <v/>
      </c>
      <c r="AC145" s="370" t="str">
        <f t="shared" si="116"/>
        <v/>
      </c>
      <c r="AD145" s="370" t="str">
        <f t="shared" si="116"/>
        <v/>
      </c>
      <c r="AE145" s="370" t="str">
        <f t="shared" si="116"/>
        <v/>
      </c>
      <c r="AF145" s="370" t="str">
        <f t="shared" si="116"/>
        <v/>
      </c>
      <c r="AG145" s="370" t="str">
        <f t="shared" si="116"/>
        <v/>
      </c>
      <c r="AH145" s="370" t="str">
        <f t="shared" si="116"/>
        <v/>
      </c>
      <c r="AI145" s="370" t="str">
        <f t="shared" si="116"/>
        <v/>
      </c>
      <c r="AJ145" s="370" t="str">
        <f t="shared" si="116"/>
        <v/>
      </c>
      <c r="AK145" s="370" t="str">
        <f t="shared" si="116"/>
        <v/>
      </c>
      <c r="AL145" s="370" t="str">
        <f t="shared" si="116"/>
        <v/>
      </c>
      <c r="AM145" s="370" t="str">
        <f t="shared" si="116"/>
        <v/>
      </c>
      <c r="AN145" s="370" t="str">
        <f t="shared" si="116"/>
        <v/>
      </c>
      <c r="AO145" s="370" t="str">
        <f t="shared" si="116"/>
        <v/>
      </c>
      <c r="AP145" s="370" t="str">
        <f t="shared" si="116"/>
        <v/>
      </c>
      <c r="AQ145" s="370" t="str">
        <f t="shared" si="116"/>
        <v/>
      </c>
      <c r="AR145" s="370" t="str">
        <f t="shared" si="116"/>
        <v/>
      </c>
      <c r="AS145" s="370" t="str">
        <f t="shared" si="116"/>
        <v/>
      </c>
      <c r="AT145" s="370" t="str">
        <f t="shared" si="116"/>
        <v/>
      </c>
      <c r="AU145" s="370" t="str">
        <f t="shared" si="116"/>
        <v/>
      </c>
      <c r="AV145" s="370" t="str">
        <f t="shared" si="116"/>
        <v/>
      </c>
      <c r="AW145" s="370" t="str">
        <f t="shared" si="116"/>
        <v/>
      </c>
      <c r="AX145" s="370" t="str">
        <f t="shared" si="116"/>
        <v/>
      </c>
      <c r="AY145" s="370" t="str">
        <f t="shared" si="116"/>
        <v/>
      </c>
      <c r="AZ145" s="370" t="str">
        <f t="shared" si="116"/>
        <v/>
      </c>
      <c r="BA145" s="370" t="str">
        <f t="shared" si="116"/>
        <v/>
      </c>
      <c r="BB145" s="283">
        <f t="shared" si="110"/>
        <v>0.11105048851255751</v>
      </c>
    </row>
    <row r="147" spans="1:54">
      <c r="B147" s="1510"/>
      <c r="C147" s="1510"/>
      <c r="D147" s="373"/>
      <c r="E147" s="373"/>
      <c r="F147" s="373"/>
      <c r="G147" s="373"/>
      <c r="H147" s="373"/>
      <c r="I147" s="373"/>
      <c r="J147" s="373"/>
      <c r="K147" s="373"/>
      <c r="L147" s="373"/>
      <c r="M147" s="373"/>
    </row>
    <row r="152" spans="1:54">
      <c r="C152" s="371"/>
      <c r="D152" s="371"/>
      <c r="E152" s="371"/>
      <c r="F152" s="371"/>
      <c r="G152" s="371"/>
      <c r="H152" s="371"/>
      <c r="I152" s="371"/>
      <c r="J152" s="371"/>
      <c r="K152" s="371"/>
    </row>
    <row r="155" spans="1:54">
      <c r="C155" s="372"/>
    </row>
  </sheetData>
  <mergeCells count="5">
    <mergeCell ref="BD2:BE2"/>
    <mergeCell ref="I27:I29"/>
    <mergeCell ref="B147:C147"/>
    <mergeCell ref="H31:J31"/>
    <mergeCell ref="BB17:BC17"/>
  </mergeCells>
  <pageMargins left="0.78740157499999996" right="0.78740157499999996" top="0.984251969" bottom="0.984251969" header="0.4921259845" footer="0.492125984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11" enableFormatConditionsCalculation="0">
    <tabColor theme="1" tint="0.14999847407452621"/>
  </sheetPr>
  <dimension ref="A1:BR219"/>
  <sheetViews>
    <sheetView topLeftCell="A41" workbookViewId="0">
      <selection activeCell="O125" sqref="O125"/>
    </sheetView>
  </sheetViews>
  <sheetFormatPr baseColWidth="10" defaultRowHeight="13" x14ac:dyDescent="0"/>
  <cols>
    <col min="1" max="44" width="7.83203125" customWidth="1"/>
    <col min="45" max="45" width="8.6640625" customWidth="1"/>
    <col min="46" max="46" width="7.83203125" customWidth="1"/>
    <col min="47" max="47" width="8.1640625" customWidth="1"/>
    <col min="48" max="48" width="7.83203125" customWidth="1"/>
    <col min="49" max="49" width="8.5" bestFit="1" customWidth="1"/>
    <col min="50" max="50" width="7.83203125" customWidth="1"/>
    <col min="51" max="51" width="9.1640625" customWidth="1"/>
    <col min="52" max="56" width="7.83203125" customWidth="1"/>
    <col min="57" max="57" width="6.33203125" customWidth="1"/>
    <col min="58" max="70" width="7.5" customWidth="1"/>
  </cols>
  <sheetData>
    <row r="1" spans="1:70">
      <c r="A1" s="1"/>
      <c r="B1" s="78" t="str">
        <f>'IN (mmol|L)'!R18</f>
        <v>I. Quartal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81" t="str">
        <f>'IN (mmol|L)'!R41</f>
        <v>II. Quartal</v>
      </c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84" t="str">
        <f>'IN (mmol|L)'!R64</f>
        <v>III. Quartal</v>
      </c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87" t="str">
        <f>'IN (mmol|L)'!R87</f>
        <v>IV. Quartal</v>
      </c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90" t="s">
        <v>83</v>
      </c>
      <c r="BC1" s="91"/>
      <c r="BD1" s="91"/>
      <c r="BE1" s="91"/>
      <c r="BF1" s="402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</row>
    <row r="2" spans="1:70">
      <c r="A2" s="1"/>
      <c r="B2" s="79">
        <f>'IN (mmol|L)'!E13</f>
        <v>41274</v>
      </c>
      <c r="C2" s="80" t="str">
        <f>IF(MONTH('IN (mmol|L)'!E13)=MONTH('IN (mmol|L)'!F13),"",'IN (mmol|L)'!F13)</f>
        <v/>
      </c>
      <c r="D2" s="80" t="str">
        <f>IF(MONTH('IN (mmol|L)'!F13)=MONTH('IN (mmol|L)'!G13),"",'IN (mmol|L)'!G13)</f>
        <v/>
      </c>
      <c r="E2" s="80" t="str">
        <f>IF(MONTH('IN (mmol|L)'!G13)=MONTH('IN (mmol|L)'!H13),"",'IN (mmol|L)'!H13)</f>
        <v/>
      </c>
      <c r="F2" s="80" t="str">
        <f>IF(MONTH('IN (mmol|L)'!H13)=MONTH('IN (mmol|L)'!I13),"",'IN (mmol|L)'!I13)</f>
        <v/>
      </c>
      <c r="G2" s="80">
        <f>IF(MONTH('IN (mmol|L)'!I13)=MONTH('IN (mmol|L)'!J13),"",'IN (mmol|L)'!J13)</f>
        <v>41309</v>
      </c>
      <c r="H2" s="80" t="str">
        <f>IF(MONTH('IN (mmol|L)'!J13)=MONTH('IN (mmol|L)'!K13),"",'IN (mmol|L)'!K13)</f>
        <v/>
      </c>
      <c r="I2" s="80" t="str">
        <f>IF(MONTH('IN (mmol|L)'!K13)=MONTH('IN (mmol|L)'!L13),"",'IN (mmol|L)'!L13)</f>
        <v/>
      </c>
      <c r="J2" s="80" t="str">
        <f>IF(MONTH('IN (mmol|L)'!L13)=MONTH('IN (mmol|L)'!M13),"",'IN (mmol|L)'!M13)</f>
        <v/>
      </c>
      <c r="K2" s="80">
        <f>IF(MONTH('IN (mmol|L)'!M13)=MONTH('IN (mmol|L)'!N13),"",'IN (mmol|L)'!N13)</f>
        <v>41337</v>
      </c>
      <c r="L2" s="80" t="str">
        <f>IF(MONTH('IN (mmol|L)'!N13)=MONTH('IN (mmol|L)'!O13),"",'IN (mmol|L)'!O13)</f>
        <v/>
      </c>
      <c r="M2" s="80" t="str">
        <f>IF(MONTH('IN (mmol|L)'!O13)=MONTH('IN (mmol|L)'!P13),"",'IN (mmol|L)'!P13)</f>
        <v/>
      </c>
      <c r="N2" s="80" t="str">
        <f>IF(MONTH('IN (mmol|L)'!P13)=MONTH('IN (mmol|L)'!Q13),"",'IN (mmol|L)'!Q13)</f>
        <v/>
      </c>
      <c r="O2" s="82">
        <f>'IN (mmol|L)'!E36</f>
        <v>41365</v>
      </c>
      <c r="P2" s="83" t="str">
        <f>IF(MONTH('IN (mmol|L)'!E36)=MONTH('IN (mmol|L)'!F36),"",'IN (mmol|L)'!F36)</f>
        <v/>
      </c>
      <c r="Q2" s="83" t="str">
        <f>IF(MONTH('IN (mmol|L)'!F36)=MONTH('IN (mmol|L)'!G36),"",'IN (mmol|L)'!G36)</f>
        <v/>
      </c>
      <c r="R2" s="83" t="str">
        <f>IF(MONTH('IN (mmol|L)'!G36)=MONTH('IN (mmol|L)'!H36),"",'IN (mmol|L)'!H36)</f>
        <v/>
      </c>
      <c r="S2" s="83" t="str">
        <f>IF(MONTH('IN (mmol|L)'!H36)=MONTH('IN (mmol|L)'!I36),"",'IN (mmol|L)'!I36)</f>
        <v/>
      </c>
      <c r="T2" s="83">
        <f>IF(MONTH('IN (mmol|L)'!I36)=MONTH('IN (mmol|L)'!J36),"",'IN (mmol|L)'!J36)</f>
        <v>41400</v>
      </c>
      <c r="U2" s="83" t="str">
        <f>IF(MONTH('IN (mmol|L)'!J36)=MONTH('IN (mmol|L)'!K36),"",'IN (mmol|L)'!K36)</f>
        <v/>
      </c>
      <c r="V2" s="83" t="str">
        <f>IF(MONTH('IN (mmol|L)'!K36)=MONTH('IN (mmol|L)'!L36),"",'IN (mmol|L)'!L36)</f>
        <v/>
      </c>
      <c r="W2" s="83" t="str">
        <f>IF(MONTH('IN (mmol|L)'!L36)=MONTH('IN (mmol|L)'!M36),"",'IN (mmol|L)'!M36)</f>
        <v/>
      </c>
      <c r="X2" s="83">
        <f>IF(MONTH('IN (mmol|L)'!M36)=MONTH('IN (mmol|L)'!N36),"",'IN (mmol|L)'!N36)</f>
        <v>41428</v>
      </c>
      <c r="Y2" s="83" t="str">
        <f>IF(MONTH('IN (mmol|L)'!N36)=MONTH('IN (mmol|L)'!O36),"",'IN (mmol|L)'!O36)</f>
        <v/>
      </c>
      <c r="Z2" s="83" t="str">
        <f>IF(MONTH('IN (mmol|L)'!O36)=MONTH('IN (mmol|L)'!P36),"",'IN (mmol|L)'!P36)</f>
        <v/>
      </c>
      <c r="AA2" s="83" t="str">
        <f>IF(MONTH('IN (mmol|L)'!P36)=MONTH('IN (mmol|L)'!Q36),"",'IN (mmol|L)'!Q36)</f>
        <v/>
      </c>
      <c r="AB2" s="85">
        <f>'IN (mmol|L)'!E59</f>
        <v>41456</v>
      </c>
      <c r="AC2" s="86" t="str">
        <f>IF(MONTH('IN (mmol|L)'!E59)=MONTH('IN (mmol|L)'!F59),"",'IN (mmol|L)'!F59)</f>
        <v/>
      </c>
      <c r="AD2" s="86" t="str">
        <f>IF(MONTH('IN (mmol|L)'!F59)=MONTH('IN (mmol|L)'!G59),"",'IN (mmol|L)'!G59)</f>
        <v/>
      </c>
      <c r="AE2" s="86" t="str">
        <f>IF(MONTH('IN (mmol|L)'!G59)=MONTH('IN (mmol|L)'!H59),"",'IN (mmol|L)'!H59)</f>
        <v/>
      </c>
      <c r="AF2" s="86" t="str">
        <f>IF(MONTH('IN (mmol|L)'!H59)=MONTH('IN (mmol|L)'!I59),"",'IN (mmol|L)'!I59)</f>
        <v/>
      </c>
      <c r="AG2" s="86">
        <f>IF(MONTH('IN (mmol|L)'!I59)=MONTH('IN (mmol|L)'!J59),"",'IN (mmol|L)'!J59)</f>
        <v>41491</v>
      </c>
      <c r="AH2" s="86" t="str">
        <f>IF(MONTH('IN (mmol|L)'!J59)=MONTH('IN (mmol|L)'!K59),"",'IN (mmol|L)'!K59)</f>
        <v/>
      </c>
      <c r="AI2" s="86" t="str">
        <f>IF(MONTH('IN (mmol|L)'!K59)=MONTH('IN (mmol|L)'!L59),"",'IN (mmol|L)'!L59)</f>
        <v/>
      </c>
      <c r="AJ2" s="86" t="str">
        <f>IF(MONTH('IN (mmol|L)'!L59)=MONTH('IN (mmol|L)'!M59),"",'IN (mmol|L)'!M59)</f>
        <v/>
      </c>
      <c r="AK2" s="86">
        <f>IF(MONTH('IN (mmol|L)'!M59)=MONTH('IN (mmol|L)'!N59),"",'IN (mmol|L)'!N59)</f>
        <v>41519</v>
      </c>
      <c r="AL2" s="86" t="str">
        <f>IF(MONTH('IN (mmol|L)'!N59)=MONTH('IN (mmol|L)'!O59),"",'IN (mmol|L)'!O59)</f>
        <v/>
      </c>
      <c r="AM2" s="86" t="str">
        <f>IF(MONTH('IN (mmol|L)'!O59)=MONTH('IN (mmol|L)'!P59),"",'IN (mmol|L)'!P59)</f>
        <v/>
      </c>
      <c r="AN2" s="86" t="str">
        <f>IF(MONTH('IN (mmol|L)'!P59)=MONTH('IN (mmol|L)'!Q59),"",'IN (mmol|L)'!Q59)</f>
        <v/>
      </c>
      <c r="AO2" s="88">
        <f>'IN (mmol|L)'!E82</f>
        <v>41547</v>
      </c>
      <c r="AP2" s="89" t="str">
        <f>IF(MONTH('IN (mmol|L)'!E82)=MONTH('IN (mmol|L)'!F82),"",'IN (mmol|L)'!F82)</f>
        <v/>
      </c>
      <c r="AQ2" s="89" t="str">
        <f>IF(MONTH('IN (mmol|L)'!F82)=MONTH('IN (mmol|L)'!G82),"",'IN (mmol|L)'!G82)</f>
        <v/>
      </c>
      <c r="AR2" s="89" t="str">
        <f>IF(MONTH('IN (mmol|L)'!G82)=MONTH('IN (mmol|L)'!H82),"",'IN (mmol|L)'!H82)</f>
        <v/>
      </c>
      <c r="AS2" s="89" t="str">
        <f>IF(MONTH('IN (mmol|L)'!H82)=MONTH('IN (mmol|L)'!I82),"",'IN (mmol|L)'!I82)</f>
        <v/>
      </c>
      <c r="AT2" s="89">
        <f>IF(MONTH('IN (mmol|L)'!I82)=MONTH('IN (mmol|L)'!J82),"",'IN (mmol|L)'!J82)</f>
        <v>41582</v>
      </c>
      <c r="AU2" s="89" t="str">
        <f>IF(MONTH('IN (mmol|L)'!J82)=MONTH('IN (mmol|L)'!K82),"",'IN (mmol|L)'!K82)</f>
        <v/>
      </c>
      <c r="AV2" s="89" t="str">
        <f>IF(MONTH('IN (mmol|L)'!K82)=MONTH('IN (mmol|L)'!L82),"",'IN (mmol|L)'!L82)</f>
        <v/>
      </c>
      <c r="AW2" s="89" t="str">
        <f>IF(MONTH('IN (mmol|L)'!L82)=MONTH('IN (mmol|L)'!M82),"",'IN (mmol|L)'!M82)</f>
        <v/>
      </c>
      <c r="AX2" s="89">
        <f>IF(MONTH('IN (mmol|L)'!M82)=MONTH('IN (mmol|L)'!N82),"",'IN (mmol|L)'!N82)</f>
        <v>41610</v>
      </c>
      <c r="AY2" s="89" t="str">
        <f>IF(MONTH('IN (mmol|L)'!N82)=MONTH('IN (mmol|L)'!O82),"",'IN (mmol|L)'!O82)</f>
        <v/>
      </c>
      <c r="AZ2" s="89" t="str">
        <f>IF(MONTH('IN (mmol|L)'!O82)=MONTH('IN (mmol|L)'!P82),"",'IN (mmol|L)'!P82)</f>
        <v/>
      </c>
      <c r="BA2" s="89" t="str">
        <f>IF(MONTH('IN (mmol|L)'!P82)=MONTH('IN (mmol|L)'!Q82),"",'IN (mmol|L)'!Q82)</f>
        <v/>
      </c>
      <c r="BB2" s="93" t="str">
        <f>'IN (mmol|L)'!R3</f>
        <v>MW</v>
      </c>
      <c r="BC2" s="94" t="str">
        <f>'IN (mmol|L)'!S3</f>
        <v>Stabw.</v>
      </c>
      <c r="BD2" s="1505" t="str">
        <f>'IN (mmol|L)'!T3</f>
        <v>±1,645σ</v>
      </c>
      <c r="BE2" s="1541"/>
      <c r="BF2" s="403"/>
      <c r="BG2" s="403"/>
      <c r="BH2" s="403"/>
      <c r="BI2" s="403"/>
      <c r="BJ2" s="403"/>
      <c r="BK2" s="403"/>
      <c r="BL2" s="403"/>
      <c r="BM2" s="403"/>
      <c r="BN2" s="403"/>
      <c r="BO2" s="403"/>
      <c r="BP2" s="403"/>
      <c r="BQ2" s="403"/>
      <c r="BR2" s="403"/>
    </row>
    <row r="3" spans="1:70">
      <c r="A3" s="1" t="s">
        <v>45</v>
      </c>
      <c r="B3" s="252" t="str">
        <f t="shared" ref="B3:AG3" si="0">CONCATENATE("KW ",B65)</f>
        <v>KW 1</v>
      </c>
      <c r="C3" s="253" t="str">
        <f t="shared" si="0"/>
        <v>KW 2</v>
      </c>
      <c r="D3" s="253" t="str">
        <f t="shared" si="0"/>
        <v>KW 3</v>
      </c>
      <c r="E3" s="253" t="str">
        <f t="shared" si="0"/>
        <v>KW 4</v>
      </c>
      <c r="F3" s="253" t="str">
        <f t="shared" si="0"/>
        <v>KW 5</v>
      </c>
      <c r="G3" s="253" t="str">
        <f t="shared" si="0"/>
        <v>KW 6</v>
      </c>
      <c r="H3" s="253" t="str">
        <f t="shared" si="0"/>
        <v>KW 7</v>
      </c>
      <c r="I3" s="253" t="str">
        <f t="shared" si="0"/>
        <v>KW 8</v>
      </c>
      <c r="J3" s="253" t="str">
        <f t="shared" si="0"/>
        <v>KW 9</v>
      </c>
      <c r="K3" s="253" t="str">
        <f t="shared" si="0"/>
        <v>KW 10</v>
      </c>
      <c r="L3" s="253" t="str">
        <f t="shared" si="0"/>
        <v>KW 11</v>
      </c>
      <c r="M3" s="253" t="str">
        <f t="shared" si="0"/>
        <v>KW 12</v>
      </c>
      <c r="N3" s="254" t="str">
        <f t="shared" si="0"/>
        <v>KW 13</v>
      </c>
      <c r="O3" s="255" t="str">
        <f t="shared" si="0"/>
        <v>KW 14</v>
      </c>
      <c r="P3" s="256" t="str">
        <f t="shared" si="0"/>
        <v>KW 15</v>
      </c>
      <c r="Q3" s="256" t="str">
        <f t="shared" si="0"/>
        <v>KW 16</v>
      </c>
      <c r="R3" s="256" t="str">
        <f t="shared" si="0"/>
        <v>KW 17</v>
      </c>
      <c r="S3" s="256" t="str">
        <f t="shared" si="0"/>
        <v>KW 18</v>
      </c>
      <c r="T3" s="256" t="str">
        <f t="shared" si="0"/>
        <v>KW 19</v>
      </c>
      <c r="U3" s="256" t="str">
        <f t="shared" si="0"/>
        <v>KW 20</v>
      </c>
      <c r="V3" s="256" t="str">
        <f t="shared" si="0"/>
        <v>KW 21</v>
      </c>
      <c r="W3" s="256" t="str">
        <f t="shared" si="0"/>
        <v>KW 22</v>
      </c>
      <c r="X3" s="256" t="str">
        <f t="shared" si="0"/>
        <v>KW 23</v>
      </c>
      <c r="Y3" s="256" t="str">
        <f t="shared" si="0"/>
        <v>KW 24</v>
      </c>
      <c r="Z3" s="256" t="str">
        <f t="shared" si="0"/>
        <v>KW 25</v>
      </c>
      <c r="AA3" s="257" t="str">
        <f t="shared" si="0"/>
        <v>KW 26</v>
      </c>
      <c r="AB3" s="259" t="str">
        <f t="shared" si="0"/>
        <v>KW 27</v>
      </c>
      <c r="AC3" s="259" t="str">
        <f t="shared" si="0"/>
        <v>KW 28</v>
      </c>
      <c r="AD3" s="259" t="str">
        <f t="shared" si="0"/>
        <v>KW 29</v>
      </c>
      <c r="AE3" s="259" t="str">
        <f t="shared" si="0"/>
        <v>KW 30</v>
      </c>
      <c r="AF3" s="259" t="str">
        <f t="shared" si="0"/>
        <v>KW 31</v>
      </c>
      <c r="AG3" s="259" t="str">
        <f t="shared" si="0"/>
        <v>KW 32</v>
      </c>
      <c r="AH3" s="259" t="str">
        <f t="shared" ref="AH3:BA3" si="1">CONCATENATE("KW ",AH65)</f>
        <v>KW 33</v>
      </c>
      <c r="AI3" s="259" t="str">
        <f t="shared" si="1"/>
        <v>KW 34</v>
      </c>
      <c r="AJ3" s="259" t="str">
        <f t="shared" si="1"/>
        <v>KW 35</v>
      </c>
      <c r="AK3" s="259" t="str">
        <f t="shared" si="1"/>
        <v>KW 36</v>
      </c>
      <c r="AL3" s="259" t="str">
        <f t="shared" si="1"/>
        <v>KW 37</v>
      </c>
      <c r="AM3" s="259" t="str">
        <f t="shared" si="1"/>
        <v>KW 38</v>
      </c>
      <c r="AN3" s="258" t="str">
        <f t="shared" si="1"/>
        <v>KW 39</v>
      </c>
      <c r="AO3" s="265" t="str">
        <f t="shared" si="1"/>
        <v>KW 40</v>
      </c>
      <c r="AP3" s="265" t="str">
        <f t="shared" si="1"/>
        <v>KW 41</v>
      </c>
      <c r="AQ3" s="265" t="str">
        <f t="shared" si="1"/>
        <v>KW 42</v>
      </c>
      <c r="AR3" s="265" t="str">
        <f t="shared" si="1"/>
        <v>KW 43</v>
      </c>
      <c r="AS3" s="265" t="str">
        <f t="shared" si="1"/>
        <v>KW 44</v>
      </c>
      <c r="AT3" s="265" t="str">
        <f t="shared" si="1"/>
        <v>KW 45</v>
      </c>
      <c r="AU3" s="265" t="str">
        <f t="shared" si="1"/>
        <v>KW 46</v>
      </c>
      <c r="AV3" s="265" t="str">
        <f t="shared" si="1"/>
        <v>KW 47</v>
      </c>
      <c r="AW3" s="265" t="str">
        <f t="shared" si="1"/>
        <v>KW 48</v>
      </c>
      <c r="AX3" s="265" t="str">
        <f t="shared" si="1"/>
        <v>KW 49</v>
      </c>
      <c r="AY3" s="265" t="str">
        <f t="shared" si="1"/>
        <v>KW 50</v>
      </c>
      <c r="AZ3" s="265" t="str">
        <f t="shared" si="1"/>
        <v>KW 51</v>
      </c>
      <c r="BA3" s="264" t="str">
        <f t="shared" si="1"/>
        <v>KW 52</v>
      </c>
      <c r="BB3" s="93"/>
      <c r="BC3" s="94"/>
      <c r="BD3" s="93"/>
      <c r="BE3" s="401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</row>
    <row r="4" spans="1:70">
      <c r="A4" s="3">
        <f>'IN (mmol|L)'!D4</f>
        <v>0.29166666666666669</v>
      </c>
      <c r="B4" s="1150">
        <f>IF('IN (mmol|L)'!E4="",'IN (mmol|L)'!$R4/'IN (mmol|L)'!$V$18,'IN (mmol|L)'!E4/'IN (mmol|L)'!$V$18)</f>
        <v>6.166666666666667</v>
      </c>
      <c r="C4" s="1151">
        <f>IF('IN (mmol|L)'!F4="",'IN (mmol|L)'!$R4/'IN (mmol|L)'!$V$18,'IN (mmol|L)'!F4/'IN (mmol|L)'!$V$18)</f>
        <v>6.1111111111111107</v>
      </c>
      <c r="D4" s="1151">
        <f>IF('IN (mmol|L)'!G4="",AVERAGE(B4:C4),'IN (mmol|L)'!G4/'IN (mmol|L)'!$V$18)</f>
        <v>6</v>
      </c>
      <c r="E4" s="1151">
        <f>IF('IN (mmol|L)'!H4="",AVERAGE(B4:D4),'IN (mmol|L)'!H4/'IN (mmol|L)'!$V$18)</f>
        <v>6.2222222222222223</v>
      </c>
      <c r="F4" s="1151">
        <f>IF('IN (mmol|L)'!I4="",AVERAGE(C4:E4),'IN (mmol|L)'!I4/'IN (mmol|L)'!$V$18)</f>
        <v>6</v>
      </c>
      <c r="G4" s="1151">
        <f>IF('IN (mmol|L)'!J4="",AVERAGE(D4:F4),'IN (mmol|L)'!J4/'IN (mmol|L)'!$V$18)</f>
        <v>6.2777777777777777</v>
      </c>
      <c r="H4" s="1151">
        <f>IF('IN (mmol|L)'!K4="",AVERAGE(E4:G4),'IN (mmol|L)'!K4/'IN (mmol|L)'!$V$18)</f>
        <v>6.2222222222222223</v>
      </c>
      <c r="I4" s="1151">
        <f>IF('IN (mmol|L)'!L4="",AVERAGE(F4:H4),'IN (mmol|L)'!L4/'IN (mmol|L)'!$V$18)</f>
        <v>6.2</v>
      </c>
      <c r="J4" s="1151">
        <f>IF('IN (mmol|L)'!M4="",AVERAGE(G4:I4),'IN (mmol|L)'!M4/'IN (mmol|L)'!$V$18)</f>
        <v>6.1</v>
      </c>
      <c r="K4" s="1151">
        <f>IF('IN (mmol|L)'!N4="",AVERAGE(H4:J4),'IN (mmol|L)'!N4/'IN (mmol|L)'!$V$18)</f>
        <v>6</v>
      </c>
      <c r="L4" s="1151">
        <f>IF('IN (mmol|L)'!O4="",AVERAGE(I4:K4),'IN (mmol|L)'!O4/'IN (mmol|L)'!$V$18)</f>
        <v>6.2</v>
      </c>
      <c r="M4" s="1151">
        <f>IF('IN (mmol|L)'!P4="",AVERAGE(J4:L4),'IN (mmol|L)'!P4/'IN (mmol|L)'!$V$18)</f>
        <v>6</v>
      </c>
      <c r="N4" s="1151">
        <f>IF('IN (mmol|L)'!Q4="",AVERAGE(K4:M4),'IN (mmol|L)'!Q4/'IN (mmol|L)'!$V$18)</f>
        <v>6.2</v>
      </c>
      <c r="O4" s="1152">
        <f>IF('IN (mmol|L)'!E27="",AVERAGE(L4:N4),'IN (mmol|L)'!E27/'IN (mmol|L)'!$V$41)</f>
        <v>6.2</v>
      </c>
      <c r="P4" s="1153">
        <f>IF('IN (mmol|L)'!F27="",AVERAGE(M4:O4),'IN (mmol|L)'!F27/'IN (mmol|L)'!$V$41)</f>
        <v>5.9</v>
      </c>
      <c r="Q4" s="1153">
        <f>IF('IN (mmol|L)'!G27="",AVERAGE(N4:P4),'IN (mmol|L)'!G27/'IN (mmol|L)'!$V$41)</f>
        <v>6.1000000000000005</v>
      </c>
      <c r="R4" s="1153">
        <f>IF('IN (mmol|L)'!H27="",AVERAGE(O4:Q4),'IN (mmol|L)'!H27/'IN (mmol|L)'!$V$41)</f>
        <v>6.0666666666666673</v>
      </c>
      <c r="S4" s="1153">
        <f>IF('IN (mmol|L)'!I27="",AVERAGE(P4:R4),'IN (mmol|L)'!I27/'IN (mmol|L)'!$V$41)</f>
        <v>6.0222222222222221</v>
      </c>
      <c r="T4" s="1153">
        <f>IF('IN (mmol|L)'!J27="",AVERAGE(Q4:S4),'IN (mmol|L)'!J27/'IN (mmol|L)'!$V$41)</f>
        <v>6.0629629629629633</v>
      </c>
      <c r="U4" s="1153">
        <f>IF('IN (mmol|L)'!K27="",AVERAGE(R4:T4),'IN (mmol|L)'!K27/'IN (mmol|L)'!$V$41)</f>
        <v>6.0506172839506176</v>
      </c>
      <c r="V4" s="1153">
        <f>IF('IN (mmol|L)'!L27="",AVERAGE(S4:U4),'IN (mmol|L)'!L27/'IN (mmol|L)'!$V$41)</f>
        <v>6.0452674897119349</v>
      </c>
      <c r="W4" s="1153">
        <f>IF('IN (mmol|L)'!M27="",AVERAGE(T4:V4),'IN (mmol|L)'!M27/'IN (mmol|L)'!$V$41)</f>
        <v>6.0529492455418392</v>
      </c>
      <c r="X4" s="1153">
        <f>IF('IN (mmol|L)'!N27="",AVERAGE(U4:W4),'IN (mmol|L)'!N27/'IN (mmol|L)'!$V$41)</f>
        <v>6.0496113397347981</v>
      </c>
      <c r="Y4" s="1153">
        <f>IF('IN (mmol|L)'!O27="",AVERAGE(V4:X4),'IN (mmol|L)'!O27/'IN (mmol|L)'!$V$41)</f>
        <v>6.0492760249961917</v>
      </c>
      <c r="Z4" s="1153">
        <f>IF('IN (mmol|L)'!P27="",AVERAGE(W4:Y4),'IN (mmol|L)'!P27/'IN (mmol|L)'!$V$41)</f>
        <v>6.0506122034242766</v>
      </c>
      <c r="AA4" s="1154">
        <f>IF('IN (mmol|L)'!Q27="",AVERAGE(X4:Z4),'IN (mmol|L)'!Q27/'IN (mmol|L)'!$V$41)</f>
        <v>6.0498331893850894</v>
      </c>
      <c r="AB4" s="1155">
        <f>IF('IN (mmol|L)'!E50="",AVERAGE(Y4:AA4),'IN (mmol|L)'!E50/'IN (mmol|L)'!$V$64)</f>
        <v>6.0499071392685195</v>
      </c>
      <c r="AC4" s="1156">
        <f>IF('IN (mmol|L)'!F50="",AVERAGE(Z4:AB4),'IN (mmol|L)'!F50/'IN (mmol|L)'!$V$64)</f>
        <v>6.0501175106926288</v>
      </c>
      <c r="AD4" s="1156">
        <f>IF('IN (mmol|L)'!G50="",AVERAGE(AA4:AC4),'IN (mmol|L)'!G50/'IN (mmol|L)'!$V$64)</f>
        <v>6.0499526131154129</v>
      </c>
      <c r="AE4" s="1156">
        <f>IF('IN (mmol|L)'!H50="",AVERAGE(AB4:AD4),'IN (mmol|L)'!H50/'IN (mmol|L)'!$V$64)</f>
        <v>6.0499924210255207</v>
      </c>
      <c r="AF4" s="1156">
        <f>IF('IN (mmol|L)'!I50="",AVERAGE(AC4:AE4),'IN (mmol|L)'!I50/'IN (mmol|L)'!$V$64)</f>
        <v>6.0500208482778541</v>
      </c>
      <c r="AG4" s="1156">
        <f>IF('IN (mmol|L)'!J50="",AVERAGE(AD4:AF4),'IN (mmol|L)'!J50/'IN (mmol|L)'!$V$64)</f>
        <v>6.0499886274729286</v>
      </c>
      <c r="AH4" s="1156">
        <f>IF('IN (mmol|L)'!K50="",AVERAGE(AE4:AG4),'IN (mmol|L)'!K50/'IN (mmol|L)'!$V$64)</f>
        <v>6.0500006322587678</v>
      </c>
      <c r="AI4" s="1156">
        <f>IF('IN (mmol|L)'!L50="",AVERAGE(AF4:AH4),'IN (mmol|L)'!L50/'IN (mmol|L)'!$V$64)</f>
        <v>6.0500033693365163</v>
      </c>
      <c r="AJ4" s="1156">
        <f>IF('IN (mmol|L)'!M50="",AVERAGE(AG4:AI4),'IN (mmol|L)'!M50/'IN (mmol|L)'!$V$64)</f>
        <v>6.0499975430227373</v>
      </c>
      <c r="AK4" s="1156">
        <f>IF('IN (mmol|L)'!N50="",AVERAGE(AH4:AJ4),'IN (mmol|L)'!N50/'IN (mmol|L)'!$V$64)</f>
        <v>6.0500005148726741</v>
      </c>
      <c r="AL4" s="1156">
        <f>IF('IN (mmol|L)'!O50="",AVERAGE(AI4:AK4),'IN (mmol|L)'!O50/'IN (mmol|L)'!$V$64)</f>
        <v>6.0500004757439756</v>
      </c>
      <c r="AM4" s="1156">
        <f>IF('IN (mmol|L)'!P50="",AVERAGE(AJ4:AL4),'IN (mmol|L)'!P50/'IN (mmol|L)'!$V$64)</f>
        <v>6.0499995112131293</v>
      </c>
      <c r="AN4" s="1157">
        <f>IF('IN (mmol|L)'!Q50="",AVERAGE(AK4:AM4),'IN (mmol|L)'!Q50/'IN (mmol|L)'!$V$64)</f>
        <v>6.0500001672765933</v>
      </c>
      <c r="AO4" s="1158">
        <f>IF('IN (mmol|L)'!E73="",AVERAGE(AL4:AN4),'IN (mmol|L)'!E73/'IN (mmol|L)'!$V$87)</f>
        <v>6.0500000514112324</v>
      </c>
      <c r="AP4" s="1159">
        <f>IF('IN (mmol|L)'!F73="",AVERAGE(AM4:AO4),'IN (mmol|L)'!F73/'IN (mmol|L)'!$V$87)</f>
        <v>6.049999909966985</v>
      </c>
      <c r="AQ4" s="1159">
        <f>IF('IN (mmol|L)'!G73="",AVERAGE(AN4:AP4),'IN (mmol|L)'!G73/'IN (mmol|L)'!$V$87)</f>
        <v>6.0500000428849363</v>
      </c>
      <c r="AR4" s="1159">
        <f>IF('IN (mmol|L)'!H73="",AVERAGE(AO4:AQ4),'IN (mmol|L)'!H73/'IN (mmol|L)'!$V$87)</f>
        <v>6.0500000014210507</v>
      </c>
      <c r="AS4" s="1159">
        <f>IF('IN (mmol|L)'!I73="",AVERAGE(AP4:AR4),'IN (mmol|L)'!I73/'IN (mmol|L)'!$V$87)</f>
        <v>6.0499999847576573</v>
      </c>
      <c r="AT4" s="1159">
        <f>IF('IN (mmol|L)'!J73="",AVERAGE(AQ4:AS4),'IN (mmol|L)'!J73/'IN (mmol|L)'!$V$87)</f>
        <v>6.0500000096878814</v>
      </c>
      <c r="AU4" s="1159">
        <f>IF('IN (mmol|L)'!K73="",AVERAGE(AR4:AT4),'IN (mmol|L)'!K73/'IN (mmol|L)'!$V$87)</f>
        <v>6.0499999986221971</v>
      </c>
      <c r="AV4" s="1159">
        <f>IF('IN (mmol|L)'!L73="",AVERAGE(AS4:AU4),'IN (mmol|L)'!L73/'IN (mmol|L)'!$V$87)</f>
        <v>6.0499999976892456</v>
      </c>
      <c r="AW4" s="1159">
        <f>IF('IN (mmol|L)'!M73="",AVERAGE(AT4:AV4),'IN (mmol|L)'!M73/'IN (mmol|L)'!$V$87)</f>
        <v>6.0500000019997744</v>
      </c>
      <c r="AX4" s="1159">
        <f>IF('IN (mmol|L)'!N73="",AVERAGE(AU4:AW4),'IN (mmol|L)'!N73/'IN (mmol|L)'!$V$87)</f>
        <v>6.0499999994370723</v>
      </c>
      <c r="AY4" s="1159">
        <f>IF('IN (mmol|L)'!O73="",AVERAGE(AV4:AX4),'IN (mmol|L)'!O73/'IN (mmol|L)'!$V$87)</f>
        <v>6.0499999997086968</v>
      </c>
      <c r="AZ4" s="1159">
        <f>IF('IN (mmol|L)'!P73="",AVERAGE(AW4:AY4),'IN (mmol|L)'!P73/'IN (mmol|L)'!$V$87)</f>
        <v>6.0500000003818473</v>
      </c>
      <c r="BA4" s="1160">
        <f>IF('IN (mmol|L)'!Q73="",AVERAGE(AX4:AZ4),'IN (mmol|L)'!Q73/'IN (mmol|L)'!$V$87)</f>
        <v>6.0499999998425382</v>
      </c>
      <c r="BB4" s="1187">
        <f t="shared" ref="BB4:BB12" si="2">AVERAGE($B4:$BA4)</f>
        <v>6.0711538461535577</v>
      </c>
      <c r="BC4" s="1188">
        <f t="shared" ref="BC4:BC12" si="3">STDEV($B4:$BA4)</f>
        <v>6.7740877679386607E-2</v>
      </c>
      <c r="BD4" s="1187">
        <f t="shared" ref="BD4:BD12" si="4">BB4-2*BC4</f>
        <v>5.9356720907947844</v>
      </c>
      <c r="BE4" s="1202">
        <f t="shared" ref="BE4:BE12" si="5">BB4+2*BC4</f>
        <v>6.206635601512331</v>
      </c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</row>
    <row r="5" spans="1:70">
      <c r="A5" s="3">
        <f>'IN (mmol|L)'!D5</f>
        <v>0.39583333333333331</v>
      </c>
      <c r="B5" s="1150">
        <f>IF('IN (mmol|L)'!E5="",'IN (mmol|L)'!$R5/'IN (mmol|L)'!$V$18,'IN (mmol|L)'!E5/'IN (mmol|L)'!$V$18)</f>
        <v>8.2222222222222214</v>
      </c>
      <c r="C5" s="1151">
        <f>IF('IN (mmol|L)'!F5="",'IN (mmol|L)'!$R5/'IN (mmol|L)'!$V$18,'IN (mmol|L)'!F5/'IN (mmol|L)'!$V$18)</f>
        <v>9.0555555555555554</v>
      </c>
      <c r="D5" s="1151">
        <f>IF('IN (mmol|L)'!G5="",AVERAGE(B5:C5),'IN (mmol|L)'!G5/'IN (mmol|L)'!$V$18)</f>
        <v>10.388888888888889</v>
      </c>
      <c r="E5" s="1151">
        <f>IF('IN (mmol|L)'!H5="",AVERAGE(B5:D5),'IN (mmol|L)'!H5/'IN (mmol|L)'!$V$18)</f>
        <v>10.333333333333334</v>
      </c>
      <c r="F5" s="1151">
        <f>IF('IN (mmol|L)'!I5="",AVERAGE(C5:E5),'IN (mmol|L)'!I5/'IN (mmol|L)'!$V$18)</f>
        <v>10.555555555555555</v>
      </c>
      <c r="G5" s="1151">
        <f>IF('IN (mmol|L)'!J5="",AVERAGE(D5:F5),'IN (mmol|L)'!J5/'IN (mmol|L)'!$V$18)</f>
        <v>12.111111111111111</v>
      </c>
      <c r="H5" s="1151">
        <f>IF('IN (mmol|L)'!K5="",AVERAGE(E5:G5),'IN (mmol|L)'!K5/'IN (mmol|L)'!$V$18)</f>
        <v>9.8888888888888893</v>
      </c>
      <c r="I5" s="1151">
        <f>IF('IN (mmol|L)'!L5="",AVERAGE(F5:H5),'IN (mmol|L)'!L5/'IN (mmol|L)'!$V$18)</f>
        <v>8.1999999999999993</v>
      </c>
      <c r="J5" s="1151">
        <f>IF('IN (mmol|L)'!M5="",AVERAGE(G5:I5),'IN (mmol|L)'!M5/'IN (mmol|L)'!$V$18)</f>
        <v>9.1</v>
      </c>
      <c r="K5" s="1151">
        <f>IF('IN (mmol|L)'!N5="",AVERAGE(H5:J5),'IN (mmol|L)'!N5/'IN (mmol|L)'!$V$18)</f>
        <v>9.0629629629629633</v>
      </c>
      <c r="L5" s="1151">
        <f>IF('IN (mmol|L)'!O5="",AVERAGE(I5:K5),'IN (mmol|L)'!O5/'IN (mmol|L)'!$V$18)</f>
        <v>10.3</v>
      </c>
      <c r="M5" s="1151">
        <f>IF('IN (mmol|L)'!P5="",AVERAGE(J5:L5),'IN (mmol|L)'!P5/'IN (mmol|L)'!$V$18)</f>
        <v>10.5</v>
      </c>
      <c r="N5" s="1151">
        <f>IF('IN (mmol|L)'!Q5="",AVERAGE(K5:M5),'IN (mmol|L)'!Q5/'IN (mmol|L)'!$V$18)</f>
        <v>9.6</v>
      </c>
      <c r="O5" s="1152">
        <f>IF('IN (mmol|L)'!E28="",AVERAGE(L5:N5),'IN (mmol|L)'!E28/'IN (mmol|L)'!$V$41)</f>
        <v>10.133333333333333</v>
      </c>
      <c r="P5" s="1153">
        <f>IF('IN (mmol|L)'!F28="",AVERAGE(M5:O5),'IN (mmol|L)'!F28/'IN (mmol|L)'!$V$41)</f>
        <v>9.4</v>
      </c>
      <c r="Q5" s="1153">
        <f>IF('IN (mmol|L)'!G28="",AVERAGE(N5:P5),'IN (mmol|L)'!G28/'IN (mmol|L)'!$V$41)</f>
        <v>9.7111111111111104</v>
      </c>
      <c r="R5" s="1153">
        <f>IF('IN (mmol|L)'!H28="",AVERAGE(O5:Q5),'IN (mmol|L)'!H28/'IN (mmol|L)'!$V$41)</f>
        <v>9.7481481481481467</v>
      </c>
      <c r="S5" s="1153">
        <f>IF('IN (mmol|L)'!I28="",AVERAGE(P5:R5),'IN (mmol|L)'!I28/'IN (mmol|L)'!$V$41)</f>
        <v>9.6197530864197525</v>
      </c>
      <c r="T5" s="1153">
        <f>IF('IN (mmol|L)'!J28="",AVERAGE(Q5:S5),'IN (mmol|L)'!J28/'IN (mmol|L)'!$V$41)</f>
        <v>9.6930041152263353</v>
      </c>
      <c r="U5" s="1153">
        <f>IF('IN (mmol|L)'!K28="",AVERAGE(R5:T5),'IN (mmol|L)'!K28/'IN (mmol|L)'!$V$41)</f>
        <v>9.6869684499314115</v>
      </c>
      <c r="V5" s="1153">
        <f>IF('IN (mmol|L)'!L28="",AVERAGE(S5:U5),'IN (mmol|L)'!L28/'IN (mmol|L)'!$V$41)</f>
        <v>9.6665752171925003</v>
      </c>
      <c r="W5" s="1153">
        <f>IF('IN (mmol|L)'!M28="",AVERAGE(T5:V5),'IN (mmol|L)'!M28/'IN (mmol|L)'!$V$41)</f>
        <v>9.6821825941167479</v>
      </c>
      <c r="X5" s="1153">
        <f>IF('IN (mmol|L)'!N28="",AVERAGE(U5:W5),'IN (mmol|L)'!N28/'IN (mmol|L)'!$V$41)</f>
        <v>9.6785754204135532</v>
      </c>
      <c r="Y5" s="1153">
        <f>IF('IN (mmol|L)'!O28="",AVERAGE(V5:X5),'IN (mmol|L)'!O28/'IN (mmol|L)'!$V$41)</f>
        <v>9.6757777439076005</v>
      </c>
      <c r="Z5" s="1153">
        <f>IF('IN (mmol|L)'!P28="",AVERAGE(W5:Y5),'IN (mmol|L)'!P28/'IN (mmol|L)'!$V$41)</f>
        <v>9.6788452528126339</v>
      </c>
      <c r="AA5" s="1154">
        <f>IF('IN (mmol|L)'!Q28="",AVERAGE(X5:Z5),'IN (mmol|L)'!Q28/'IN (mmol|L)'!$V$41)</f>
        <v>9.6777328057112637</v>
      </c>
      <c r="AB5" s="1155">
        <f>IF('IN (mmol|L)'!E51="",AVERAGE(Y5:AA5),'IN (mmol|L)'!E51/'IN (mmol|L)'!$V$64)</f>
        <v>9.6774519341438321</v>
      </c>
      <c r="AC5" s="1156">
        <f>IF('IN (mmol|L)'!F51="",AVERAGE(Z5:AB5),'IN (mmol|L)'!F51/'IN (mmol|L)'!$V$64)</f>
        <v>9.6780099975559093</v>
      </c>
      <c r="AD5" s="1156">
        <f>IF('IN (mmol|L)'!G51="",AVERAGE(AA5:AC5),'IN (mmol|L)'!G51/'IN (mmol|L)'!$V$64)</f>
        <v>9.6777315791370029</v>
      </c>
      <c r="AE5" s="1156">
        <f>IF('IN (mmol|L)'!H51="",AVERAGE(AB5:AD5),'IN (mmol|L)'!H51/'IN (mmol|L)'!$V$64)</f>
        <v>9.6777311702789159</v>
      </c>
      <c r="AF5" s="1156">
        <f>IF('IN (mmol|L)'!I51="",AVERAGE(AC5:AE5),'IN (mmol|L)'!I51/'IN (mmol|L)'!$V$64)</f>
        <v>9.6778242489906106</v>
      </c>
      <c r="AG5" s="1156">
        <f>IF('IN (mmol|L)'!J51="",AVERAGE(AD5:AF5),'IN (mmol|L)'!J51/'IN (mmol|L)'!$V$64)</f>
        <v>9.6777623328021765</v>
      </c>
      <c r="AH5" s="1156">
        <f>IF('IN (mmol|L)'!K51="",AVERAGE(AE5:AG5),'IN (mmol|L)'!K51/'IN (mmol|L)'!$V$64)</f>
        <v>9.6777725840239004</v>
      </c>
      <c r="AI5" s="1156">
        <f>IF('IN (mmol|L)'!L51="",AVERAGE(AF5:AH5),'IN (mmol|L)'!L51/'IN (mmol|L)'!$V$64)</f>
        <v>9.6777863886055613</v>
      </c>
      <c r="AJ5" s="1156">
        <f>IF('IN (mmol|L)'!M51="",AVERAGE(AG5:AI5),'IN (mmol|L)'!M51/'IN (mmol|L)'!$V$64)</f>
        <v>9.6777737684772127</v>
      </c>
      <c r="AK5" s="1156">
        <f>IF('IN (mmol|L)'!N51="",AVERAGE(AH5:AJ5),'IN (mmol|L)'!N51/'IN (mmol|L)'!$V$64)</f>
        <v>9.6777775803688915</v>
      </c>
      <c r="AL5" s="1156">
        <f>IF('IN (mmol|L)'!O51="",AVERAGE(AI5:AK5),'IN (mmol|L)'!O51/'IN (mmol|L)'!$V$64)</f>
        <v>9.6777792458172218</v>
      </c>
      <c r="AM5" s="1156">
        <f>IF('IN (mmol|L)'!P51="",AVERAGE(AJ5:AL5),'IN (mmol|L)'!P51/'IN (mmol|L)'!$V$64)</f>
        <v>9.6777768648877753</v>
      </c>
      <c r="AN5" s="1157">
        <f>IF('IN (mmol|L)'!Q51="",AVERAGE(AK5:AM5),'IN (mmol|L)'!Q51/'IN (mmol|L)'!$V$64)</f>
        <v>9.6777778970246295</v>
      </c>
      <c r="AO5" s="1158">
        <f>IF('IN (mmol|L)'!E74="",AVERAGE(AL5:AN5),'IN (mmol|L)'!E74/'IN (mmol|L)'!$V$87)</f>
        <v>9.6777780025765416</v>
      </c>
      <c r="AP5" s="1159">
        <f>IF('IN (mmol|L)'!F74="",AVERAGE(AM5:AO5),'IN (mmol|L)'!F74/'IN (mmol|L)'!$V$87)</f>
        <v>9.6777775881629822</v>
      </c>
      <c r="AQ5" s="1159">
        <f>IF('IN (mmol|L)'!G74="",AVERAGE(AN5:AP5),'IN (mmol|L)'!G74/'IN (mmol|L)'!$V$87)</f>
        <v>9.6777778292547172</v>
      </c>
      <c r="AR5" s="1159">
        <f>IF('IN (mmol|L)'!H74="",AVERAGE(AO5:AQ5),'IN (mmol|L)'!H74/'IN (mmol|L)'!$V$87)</f>
        <v>9.6777778066647482</v>
      </c>
      <c r="AS5" s="1159">
        <f>IF('IN (mmol|L)'!I74="",AVERAGE(AP5:AR5),'IN (mmol|L)'!I74/'IN (mmol|L)'!$V$87)</f>
        <v>9.6777777413608153</v>
      </c>
      <c r="AT5" s="1159">
        <f>IF('IN (mmol|L)'!J74="",AVERAGE(AQ5:AS5),'IN (mmol|L)'!J74/'IN (mmol|L)'!$V$87)</f>
        <v>9.6777777924267596</v>
      </c>
      <c r="AU5" s="1159">
        <f>IF('IN (mmol|L)'!K74="",AVERAGE(AR5:AT5),'IN (mmol|L)'!K74/'IN (mmol|L)'!$V$87)</f>
        <v>9.6777777801507749</v>
      </c>
      <c r="AV5" s="1159">
        <f>IF('IN (mmol|L)'!L74="",AVERAGE(AS5:AU5),'IN (mmol|L)'!L74/'IN (mmol|L)'!$V$87)</f>
        <v>9.6777777713127833</v>
      </c>
      <c r="AW5" s="1159">
        <f>IF('IN (mmol|L)'!M74="",AVERAGE(AT5:AV5),'IN (mmol|L)'!M74/'IN (mmol|L)'!$V$87)</f>
        <v>9.6777777812967738</v>
      </c>
      <c r="AX5" s="1159">
        <f>IF('IN (mmol|L)'!N74="",AVERAGE(AU5:AW5),'IN (mmol|L)'!N74/'IN (mmol|L)'!$V$87)</f>
        <v>9.6777777775867779</v>
      </c>
      <c r="AY5" s="1159">
        <f>IF('IN (mmol|L)'!O74="",AVERAGE(AV5:AX5),'IN (mmol|L)'!O74/'IN (mmol|L)'!$V$87)</f>
        <v>9.6777777767321123</v>
      </c>
      <c r="AZ5" s="1159">
        <f>IF('IN (mmol|L)'!P74="",AVERAGE(AW5:AY5),'IN (mmol|L)'!P74/'IN (mmol|L)'!$V$87)</f>
        <v>9.6777777785385553</v>
      </c>
      <c r="BA5" s="1160">
        <f>IF('IN (mmol|L)'!Q74="",AVERAGE(AX5:AZ5),'IN (mmol|L)'!Q74/'IN (mmol|L)'!$V$87)</f>
        <v>9.6777777776191485</v>
      </c>
      <c r="BB5" s="1187">
        <f t="shared" si="2"/>
        <v>9.7113960113969213</v>
      </c>
      <c r="BC5" s="1188">
        <f t="shared" si="3"/>
        <v>0.53096540023697625</v>
      </c>
      <c r="BD5" s="1187">
        <f t="shared" si="4"/>
        <v>8.649465210922969</v>
      </c>
      <c r="BE5" s="1202">
        <f t="shared" si="5"/>
        <v>10.773326811870874</v>
      </c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</row>
    <row r="6" spans="1:70">
      <c r="A6" s="3">
        <f>'IN (mmol|L)'!D6</f>
        <v>0.5</v>
      </c>
      <c r="B6" s="1150">
        <f>IF('IN (mmol|L)'!E6="",'IN (mmol|L)'!$R6/'IN (mmol|L)'!$V$18,'IN (mmol|L)'!E6/'IN (mmol|L)'!$V$18)</f>
        <v>4.7777777777777777</v>
      </c>
      <c r="C6" s="1151">
        <f>IF('IN (mmol|L)'!F6="",'IN (mmol|L)'!$R6/'IN (mmol|L)'!$V$18,'IN (mmol|L)'!F6/'IN (mmol|L)'!$V$18)</f>
        <v>6.7777777777777777</v>
      </c>
      <c r="D6" s="1151">
        <f>IF('IN (mmol|L)'!G6="",AVERAGE(B6:C6),'IN (mmol|L)'!G6/'IN (mmol|L)'!$V$18)</f>
        <v>6.7777777777777777</v>
      </c>
      <c r="E6" s="1151">
        <f>IF('IN (mmol|L)'!H6="",AVERAGE(B6:D6),'IN (mmol|L)'!H6/'IN (mmol|L)'!$V$18)</f>
        <v>8.7777777777777786</v>
      </c>
      <c r="F6" s="1151">
        <f>IF('IN (mmol|L)'!I6="",AVERAGE(C6:E6),'IN (mmol|L)'!I6/'IN (mmol|L)'!$V$18)</f>
        <v>8.7222222222222214</v>
      </c>
      <c r="G6" s="1151">
        <f>IF('IN (mmol|L)'!J6="",AVERAGE(D6:F6),'IN (mmol|L)'!J6/'IN (mmol|L)'!$V$18)</f>
        <v>8.0555555555555554</v>
      </c>
      <c r="H6" s="1151">
        <f>IF('IN (mmol|L)'!K6="",AVERAGE(E6:G6),'IN (mmol|L)'!K6/'IN (mmol|L)'!$V$18)</f>
        <v>6.7777777777777777</v>
      </c>
      <c r="I6" s="1151">
        <f>IF('IN (mmol|L)'!L6="",AVERAGE(F6:H6),'IN (mmol|L)'!L6/'IN (mmol|L)'!$V$18)</f>
        <v>4.8</v>
      </c>
      <c r="J6" s="1151">
        <f>IF('IN (mmol|L)'!M6="",AVERAGE(G6:I6),'IN (mmol|L)'!M6/'IN (mmol|L)'!$V$18)</f>
        <v>6.8</v>
      </c>
      <c r="K6" s="1151">
        <f>IF('IN (mmol|L)'!N6="",AVERAGE(H6:J6),'IN (mmol|L)'!N6/'IN (mmol|L)'!$V$18)</f>
        <v>10.3</v>
      </c>
      <c r="L6" s="1151">
        <f>IF('IN (mmol|L)'!O6="",AVERAGE(I6:K6),'IN (mmol|L)'!O6/'IN (mmol|L)'!$V$18)</f>
        <v>8.1999999999999993</v>
      </c>
      <c r="M6" s="1151">
        <f>IF('IN (mmol|L)'!P6="",AVERAGE(J6:L6),'IN (mmol|L)'!P6/'IN (mmol|L)'!$V$18)</f>
        <v>8.6999999999999993</v>
      </c>
      <c r="N6" s="1151">
        <f>IF('IN (mmol|L)'!Q6="",AVERAGE(K6:M6),'IN (mmol|L)'!Q6/'IN (mmol|L)'!$V$18)</f>
        <v>6</v>
      </c>
      <c r="O6" s="1152">
        <f>IF('IN (mmol|L)'!E29="",AVERAGE(L6:N6),'IN (mmol|L)'!E29/'IN (mmol|L)'!$V$41)</f>
        <v>7.6333333333333329</v>
      </c>
      <c r="P6" s="1153">
        <f>IF('IN (mmol|L)'!F29="",AVERAGE(M6:O6),'IN (mmol|L)'!F29/'IN (mmol|L)'!$V$41)</f>
        <v>7.4</v>
      </c>
      <c r="Q6" s="1153">
        <f>IF('IN (mmol|L)'!G29="",AVERAGE(N6:P6),'IN (mmol|L)'!G29/'IN (mmol|L)'!$V$41)</f>
        <v>7.0111111111111102</v>
      </c>
      <c r="R6" s="1153">
        <f>IF('IN (mmol|L)'!H29="",AVERAGE(O6:Q6),'IN (mmol|L)'!H29/'IN (mmol|L)'!$V$41)</f>
        <v>7.3481481481481481</v>
      </c>
      <c r="S6" s="1153">
        <f>IF('IN (mmol|L)'!I29="",AVERAGE(P6:R6),'IN (mmol|L)'!I29/'IN (mmol|L)'!$V$41)</f>
        <v>7.2530864197530862</v>
      </c>
      <c r="T6" s="1153">
        <f>IF('IN (mmol|L)'!J29="",AVERAGE(Q6:S6),'IN (mmol|L)'!J29/'IN (mmol|L)'!$V$41)</f>
        <v>7.2041152263374473</v>
      </c>
      <c r="U6" s="1153">
        <f>IF('IN (mmol|L)'!K29="",AVERAGE(R6:T6),'IN (mmol|L)'!K29/'IN (mmol|L)'!$V$41)</f>
        <v>7.268449931412893</v>
      </c>
      <c r="V6" s="1153">
        <f>IF('IN (mmol|L)'!L29="",AVERAGE(S6:U6),'IN (mmol|L)'!L29/'IN (mmol|L)'!$V$41)</f>
        <v>7.2418838591678094</v>
      </c>
      <c r="W6" s="1153">
        <f>IF('IN (mmol|L)'!M29="",AVERAGE(T6:V6),'IN (mmol|L)'!M29/'IN (mmol|L)'!$V$41)</f>
        <v>7.2381496723060499</v>
      </c>
      <c r="X6" s="1153">
        <f>IF('IN (mmol|L)'!N29="",AVERAGE(U6:W6),'IN (mmol|L)'!N29/'IN (mmol|L)'!$V$41)</f>
        <v>7.249494487628918</v>
      </c>
      <c r="Y6" s="1153">
        <f>IF('IN (mmol|L)'!O29="",AVERAGE(V6:X6),'IN (mmol|L)'!O29/'IN (mmol|L)'!$V$41)</f>
        <v>7.2431760063675918</v>
      </c>
      <c r="Z6" s="1153">
        <f>IF('IN (mmol|L)'!P29="",AVERAGE(W6:Y6),'IN (mmol|L)'!P29/'IN (mmol|L)'!$V$41)</f>
        <v>7.2436067221008535</v>
      </c>
      <c r="AA6" s="1154">
        <f>IF('IN (mmol|L)'!Q29="",AVERAGE(X6:Z6),'IN (mmol|L)'!Q29/'IN (mmol|L)'!$V$41)</f>
        <v>7.2454257386991214</v>
      </c>
      <c r="AB6" s="1155">
        <f>IF('IN (mmol|L)'!E52="",AVERAGE(Y6:AA6),'IN (mmol|L)'!E52/'IN (mmol|L)'!$V$64)</f>
        <v>7.2440694890558559</v>
      </c>
      <c r="AC6" s="1156">
        <f>IF('IN (mmol|L)'!F52="",AVERAGE(Z6:AB6),'IN (mmol|L)'!F52/'IN (mmol|L)'!$V$64)</f>
        <v>7.2443673166186109</v>
      </c>
      <c r="AD6" s="1156">
        <f>IF('IN (mmol|L)'!G52="",AVERAGE(AA6:AC6),'IN (mmol|L)'!G52/'IN (mmol|L)'!$V$64)</f>
        <v>7.2446208481245291</v>
      </c>
      <c r="AE6" s="1156">
        <f>IF('IN (mmol|L)'!H52="",AVERAGE(AB6:AD6),'IN (mmol|L)'!H52/'IN (mmol|L)'!$V$64)</f>
        <v>7.2443525512663323</v>
      </c>
      <c r="AF6" s="1156">
        <f>IF('IN (mmol|L)'!I52="",AVERAGE(AC6:AE6),'IN (mmol|L)'!I52/'IN (mmol|L)'!$V$64)</f>
        <v>7.244446905336491</v>
      </c>
      <c r="AG6" s="1156">
        <f>IF('IN (mmol|L)'!J52="",AVERAGE(AD6:AF6),'IN (mmol|L)'!J52/'IN (mmol|L)'!$V$64)</f>
        <v>7.2444734349091178</v>
      </c>
      <c r="AH6" s="1156">
        <f>IF('IN (mmol|L)'!K52="",AVERAGE(AE6:AG6),'IN (mmol|L)'!K52/'IN (mmol|L)'!$V$64)</f>
        <v>7.2444242971706467</v>
      </c>
      <c r="AI6" s="1156">
        <f>IF('IN (mmol|L)'!L52="",AVERAGE(AF6:AH6),'IN (mmol|L)'!L52/'IN (mmol|L)'!$V$64)</f>
        <v>7.2444482124720855</v>
      </c>
      <c r="AJ6" s="1156">
        <f>IF('IN (mmol|L)'!M52="",AVERAGE(AG6:AI6),'IN (mmol|L)'!M52/'IN (mmol|L)'!$V$64)</f>
        <v>7.2444486481839503</v>
      </c>
      <c r="AK6" s="1156">
        <f>IF('IN (mmol|L)'!N52="",AVERAGE(AH6:AJ6),'IN (mmol|L)'!N52/'IN (mmol|L)'!$V$64)</f>
        <v>7.2444403859422275</v>
      </c>
      <c r="AL6" s="1156">
        <f>IF('IN (mmol|L)'!O52="",AVERAGE(AI6:AK6),'IN (mmol|L)'!O52/'IN (mmol|L)'!$V$64)</f>
        <v>7.2444457488660881</v>
      </c>
      <c r="AM6" s="1156">
        <f>IF('IN (mmol|L)'!P52="",AVERAGE(AJ6:AL6),'IN (mmol|L)'!P52/'IN (mmol|L)'!$V$64)</f>
        <v>7.2444449276640883</v>
      </c>
      <c r="AN6" s="1157">
        <f>IF('IN (mmol|L)'!Q52="",AVERAGE(AK6:AM6),'IN (mmol|L)'!Q52/'IN (mmol|L)'!$V$64)</f>
        <v>7.2444436874908007</v>
      </c>
      <c r="AO6" s="1158">
        <f>IF('IN (mmol|L)'!E75="",AVERAGE(AL6:AN6),'IN (mmol|L)'!E75/'IN (mmol|L)'!$V$87)</f>
        <v>7.2444447880069918</v>
      </c>
      <c r="AP6" s="1159">
        <f>IF('IN (mmol|L)'!F75="",AVERAGE(AM6:AO6),'IN (mmol|L)'!F75/'IN (mmol|L)'!$V$87)</f>
        <v>7.2444444677206263</v>
      </c>
      <c r="AQ6" s="1159">
        <f>IF('IN (mmol|L)'!G75="",AVERAGE(AN6:AP6),'IN (mmol|L)'!G75/'IN (mmol|L)'!$V$87)</f>
        <v>7.244444314406139</v>
      </c>
      <c r="AR6" s="1159">
        <f>IF('IN (mmol|L)'!H75="",AVERAGE(AO6:AQ6),'IN (mmol|L)'!H75/'IN (mmol|L)'!$V$87)</f>
        <v>7.2444445233779184</v>
      </c>
      <c r="AS6" s="1159">
        <f>IF('IN (mmol|L)'!I75="",AVERAGE(AP6:AR6),'IN (mmol|L)'!I75/'IN (mmol|L)'!$V$87)</f>
        <v>7.2444444351682273</v>
      </c>
      <c r="AT6" s="1159">
        <f>IF('IN (mmol|L)'!J75="",AVERAGE(AQ6:AS6),'IN (mmol|L)'!J75/'IN (mmol|L)'!$V$87)</f>
        <v>7.244444424317428</v>
      </c>
      <c r="AU6" s="1159">
        <f>IF('IN (mmol|L)'!K75="",AVERAGE(AR6:AT6),'IN (mmol|L)'!K75/'IN (mmol|L)'!$V$87)</f>
        <v>7.2444444609545249</v>
      </c>
      <c r="AV6" s="1159">
        <f>IF('IN (mmol|L)'!L75="",AVERAGE(AS6:AU6),'IN (mmol|L)'!L75/'IN (mmol|L)'!$V$87)</f>
        <v>7.2444444401467267</v>
      </c>
      <c r="AW6" s="1159">
        <f>IF('IN (mmol|L)'!M75="",AVERAGE(AT6:AV6),'IN (mmol|L)'!M75/'IN (mmol|L)'!$V$87)</f>
        <v>7.2444444418062268</v>
      </c>
      <c r="AX6" s="1159">
        <f>IF('IN (mmol|L)'!N75="",AVERAGE(AU6:AW6),'IN (mmol|L)'!N75/'IN (mmol|L)'!$V$87)</f>
        <v>7.2444444476358258</v>
      </c>
      <c r="AY6" s="1159">
        <f>IF('IN (mmol|L)'!O75="",AVERAGE(AV6:AX6),'IN (mmol|L)'!O75/'IN (mmol|L)'!$V$87)</f>
        <v>7.2444444431962589</v>
      </c>
      <c r="AZ6" s="1159">
        <f>IF('IN (mmol|L)'!P75="",AVERAGE(AW6:AY6),'IN (mmol|L)'!P75/'IN (mmol|L)'!$V$87)</f>
        <v>7.2444444442127702</v>
      </c>
      <c r="BA6" s="1160">
        <f>IF('IN (mmol|L)'!Q75="",AVERAGE(AX6:AZ6),'IN (mmol|L)'!Q75/'IN (mmol|L)'!$V$87)</f>
        <v>7.2444444450149517</v>
      </c>
      <c r="BB6" s="1187">
        <f t="shared" si="2"/>
        <v>7.2769586894634326</v>
      </c>
      <c r="BC6" s="1188">
        <f t="shared" si="3"/>
        <v>0.79469142234220369</v>
      </c>
      <c r="BD6" s="1187">
        <f t="shared" si="4"/>
        <v>5.6875758447790252</v>
      </c>
      <c r="BE6" s="1202">
        <f t="shared" si="5"/>
        <v>8.8663415341478391</v>
      </c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</row>
    <row r="7" spans="1:70">
      <c r="A7" s="3">
        <f>'IN (mmol|L)'!D7</f>
        <v>0.60416666666666663</v>
      </c>
      <c r="B7" s="1150">
        <f>IF('IN (mmol|L)'!E7="",'IN (mmol|L)'!$R7/'IN (mmol|L)'!$V$18,'IN (mmol|L)'!E7/'IN (mmol|L)'!$V$18)</f>
        <v>10.611111111111111</v>
      </c>
      <c r="C7" s="1151">
        <f>IF('IN (mmol|L)'!F7="",'IN (mmol|L)'!$R7/'IN (mmol|L)'!$V$18,'IN (mmol|L)'!F7/'IN (mmol|L)'!$V$18)</f>
        <v>6.2222222222222223</v>
      </c>
      <c r="D7" s="1151">
        <f>IF('IN (mmol|L)'!G7="",AVERAGE(B7:C7),'IN (mmol|L)'!G7/'IN (mmol|L)'!$V$18)</f>
        <v>6.3888888888888893</v>
      </c>
      <c r="E7" s="1151">
        <f>IF('IN (mmol|L)'!H7="",AVERAGE(B7:D7),'IN (mmol|L)'!H7/'IN (mmol|L)'!$V$18)</f>
        <v>5.3888888888888893</v>
      </c>
      <c r="F7" s="1151">
        <f>IF('IN (mmol|L)'!I7="",AVERAGE(C7:E7),'IN (mmol|L)'!I7/'IN (mmol|L)'!$V$18)</f>
        <v>6</v>
      </c>
      <c r="G7" s="1151">
        <f>IF('IN (mmol|L)'!J7="",AVERAGE(D7:F7),'IN (mmol|L)'!J7/'IN (mmol|L)'!$V$18)</f>
        <v>7.0555555555555554</v>
      </c>
      <c r="H7" s="1151">
        <f>IF('IN (mmol|L)'!K7="",AVERAGE(E7:G7),'IN (mmol|L)'!K7/'IN (mmol|L)'!$V$18)</f>
        <v>8.7222222222222214</v>
      </c>
      <c r="I7" s="1151">
        <f>IF('IN (mmol|L)'!L7="",AVERAGE(F7:H7),'IN (mmol|L)'!L7/'IN (mmol|L)'!$V$18)</f>
        <v>10.6</v>
      </c>
      <c r="J7" s="1151">
        <f>IF('IN (mmol|L)'!M7="",AVERAGE(G7:I7),'IN (mmol|L)'!M7/'IN (mmol|L)'!$V$18)</f>
        <v>6.2</v>
      </c>
      <c r="K7" s="1151">
        <f>IF('IN (mmol|L)'!N7="",AVERAGE(H7:J7),'IN (mmol|L)'!N7/'IN (mmol|L)'!$V$18)</f>
        <v>6.8</v>
      </c>
      <c r="L7" s="1151">
        <f>IF('IN (mmol|L)'!O7="",AVERAGE(I7:K7),'IN (mmol|L)'!O7/'IN (mmol|L)'!$V$18)</f>
        <v>5.4</v>
      </c>
      <c r="M7" s="1151">
        <f>IF('IN (mmol|L)'!P7="",AVERAGE(J7:L7),'IN (mmol|L)'!P7/'IN (mmol|L)'!$V$18)</f>
        <v>6.1333333333333329</v>
      </c>
      <c r="N7" s="1151">
        <f>IF('IN (mmol|L)'!Q7="",AVERAGE(K7:M7),'IN (mmol|L)'!Q7/'IN (mmol|L)'!$V$18)</f>
        <v>4.5</v>
      </c>
      <c r="O7" s="1152">
        <f>IF('IN (mmol|L)'!E30="",AVERAGE(L7:N7),'IN (mmol|L)'!E30/'IN (mmol|L)'!$V$41)</f>
        <v>5.3444444444444441</v>
      </c>
      <c r="P7" s="1153">
        <f>IF('IN (mmol|L)'!F30="",AVERAGE(M7:O7),'IN (mmol|L)'!F30/'IN (mmol|L)'!$V$41)</f>
        <v>6</v>
      </c>
      <c r="Q7" s="1153">
        <f>IF('IN (mmol|L)'!G30="",AVERAGE(N7:P7),'IN (mmol|L)'!G30/'IN (mmol|L)'!$V$41)</f>
        <v>5.2814814814814817</v>
      </c>
      <c r="R7" s="1153">
        <f>IF('IN (mmol|L)'!H30="",AVERAGE(O7:Q7),'IN (mmol|L)'!H30/'IN (mmol|L)'!$V$41)</f>
        <v>5.5419753086419759</v>
      </c>
      <c r="S7" s="1153">
        <f>IF('IN (mmol|L)'!I30="",AVERAGE(P7:R7),'IN (mmol|L)'!I30/'IN (mmol|L)'!$V$41)</f>
        <v>5.6078189300411525</v>
      </c>
      <c r="T7" s="1153">
        <f>IF('IN (mmol|L)'!J30="",AVERAGE(Q7:S7),'IN (mmol|L)'!J30/'IN (mmol|L)'!$V$41)</f>
        <v>5.4770919067215367</v>
      </c>
      <c r="U7" s="1153">
        <f>IF('IN (mmol|L)'!K30="",AVERAGE(R7:T7),'IN (mmol|L)'!K30/'IN (mmol|L)'!$V$41)</f>
        <v>5.542295381801555</v>
      </c>
      <c r="V7" s="1153">
        <f>IF('IN (mmol|L)'!L30="",AVERAGE(S7:U7),'IN (mmol|L)'!L30/'IN (mmol|L)'!$V$41)</f>
        <v>5.5424020728547481</v>
      </c>
      <c r="W7" s="1153">
        <f>IF('IN (mmol|L)'!M30="",AVERAGE(T7:V7),'IN (mmol|L)'!M30/'IN (mmol|L)'!$V$41)</f>
        <v>5.5205964537926135</v>
      </c>
      <c r="X7" s="1153">
        <f>IF('IN (mmol|L)'!N30="",AVERAGE(U7:W7),'IN (mmol|L)'!N30/'IN (mmol|L)'!$V$41)</f>
        <v>5.5350979694829725</v>
      </c>
      <c r="Y7" s="1153">
        <f>IF('IN (mmol|L)'!O30="",AVERAGE(V7:X7),'IN (mmol|L)'!O30/'IN (mmol|L)'!$V$41)</f>
        <v>5.5326988320434447</v>
      </c>
      <c r="Z7" s="1153">
        <f>IF('IN (mmol|L)'!P30="",AVERAGE(W7:Y7),'IN (mmol|L)'!P30/'IN (mmol|L)'!$V$41)</f>
        <v>5.5294644184396766</v>
      </c>
      <c r="AA7" s="1154">
        <f>IF('IN (mmol|L)'!Q30="",AVERAGE(X7:Z7),'IN (mmol|L)'!Q30/'IN (mmol|L)'!$V$41)</f>
        <v>5.5324204066553646</v>
      </c>
      <c r="AB7" s="1155">
        <f>IF('IN (mmol|L)'!E53="",AVERAGE(Y7:AA7),'IN (mmol|L)'!E53/'IN (mmol|L)'!$V$64)</f>
        <v>5.5315278857128289</v>
      </c>
      <c r="AC7" s="1156">
        <f>IF('IN (mmol|L)'!F53="",AVERAGE(Z7:AB7),'IN (mmol|L)'!F53/'IN (mmol|L)'!$V$64)</f>
        <v>5.5311375702692906</v>
      </c>
      <c r="AD7" s="1156">
        <f>IF('IN (mmol|L)'!G53="",AVERAGE(AA7:AC7),'IN (mmol|L)'!G53/'IN (mmol|L)'!$V$64)</f>
        <v>5.5316952875458272</v>
      </c>
      <c r="AE7" s="1156">
        <f>IF('IN (mmol|L)'!H53="",AVERAGE(AB7:AD7),'IN (mmol|L)'!H53/'IN (mmol|L)'!$V$64)</f>
        <v>5.531453581175982</v>
      </c>
      <c r="AF7" s="1156">
        <f>IF('IN (mmol|L)'!I53="",AVERAGE(AC7:AE7),'IN (mmol|L)'!I53/'IN (mmol|L)'!$V$64)</f>
        <v>5.5314288129970324</v>
      </c>
      <c r="AG7" s="1156">
        <f>IF('IN (mmol|L)'!J53="",AVERAGE(AD7:AF7),'IN (mmol|L)'!J53/'IN (mmol|L)'!$V$64)</f>
        <v>5.5315258939062808</v>
      </c>
      <c r="AH7" s="1156">
        <f>IF('IN (mmol|L)'!K53="",AVERAGE(AE7:AG7),'IN (mmol|L)'!K53/'IN (mmol|L)'!$V$64)</f>
        <v>5.5314694293597642</v>
      </c>
      <c r="AI7" s="1156">
        <f>IF('IN (mmol|L)'!L53="",AVERAGE(AF7:AH7),'IN (mmol|L)'!L53/'IN (mmol|L)'!$V$64)</f>
        <v>5.5314747120876921</v>
      </c>
      <c r="AJ7" s="1156">
        <f>IF('IN (mmol|L)'!M53="",AVERAGE(AG7:AI7),'IN (mmol|L)'!M53/'IN (mmol|L)'!$V$64)</f>
        <v>5.5314900117845793</v>
      </c>
      <c r="AK7" s="1156">
        <f>IF('IN (mmol|L)'!N53="",AVERAGE(AH7:AJ7),'IN (mmol|L)'!N53/'IN (mmol|L)'!$V$64)</f>
        <v>5.5314780510773458</v>
      </c>
      <c r="AL7" s="1156">
        <f>IF('IN (mmol|L)'!O53="",AVERAGE(AI7:AK7),'IN (mmol|L)'!O53/'IN (mmol|L)'!$V$64)</f>
        <v>5.5314809249832058</v>
      </c>
      <c r="AM7" s="1156">
        <f>IF('IN (mmol|L)'!P53="",AVERAGE(AJ7:AL7),'IN (mmol|L)'!P53/'IN (mmol|L)'!$V$64)</f>
        <v>5.5314829959483767</v>
      </c>
      <c r="AN7" s="1157">
        <f>IF('IN (mmol|L)'!Q53="",AVERAGE(AK7:AM7),'IN (mmol|L)'!Q53/'IN (mmol|L)'!$V$64)</f>
        <v>5.53148065733631</v>
      </c>
      <c r="AO7" s="1158">
        <f>IF('IN (mmol|L)'!E76="",AVERAGE(AL7:AN7),'IN (mmol|L)'!E76/'IN (mmol|L)'!$V$87)</f>
        <v>5.5314815260892978</v>
      </c>
      <c r="AP7" s="1159">
        <f>IF('IN (mmol|L)'!F76="",AVERAGE(AM7:AO7),'IN (mmol|L)'!F76/'IN (mmol|L)'!$V$87)</f>
        <v>5.5314817264579945</v>
      </c>
      <c r="AQ7" s="1159">
        <f>IF('IN (mmol|L)'!G76="",AVERAGE(AN7:AP7),'IN (mmol|L)'!G76/'IN (mmol|L)'!$V$87)</f>
        <v>5.5314813032945338</v>
      </c>
      <c r="AR7" s="1159">
        <f>IF('IN (mmol|L)'!H76="",AVERAGE(AO7:AQ7),'IN (mmol|L)'!H76/'IN (mmol|L)'!$V$87)</f>
        <v>5.5314815186139414</v>
      </c>
      <c r="AS7" s="1159">
        <f>IF('IN (mmol|L)'!I76="",AVERAGE(AP7:AR7),'IN (mmol|L)'!I76/'IN (mmol|L)'!$V$87)</f>
        <v>5.531481516122156</v>
      </c>
      <c r="AT7" s="1159">
        <f>IF('IN (mmol|L)'!J76="",AVERAGE(AQ7:AS7),'IN (mmol|L)'!J76/'IN (mmol|L)'!$V$87)</f>
        <v>5.5314814460102104</v>
      </c>
      <c r="AU7" s="1159">
        <f>IF('IN (mmol|L)'!K76="",AVERAGE(AR7:AT7),'IN (mmol|L)'!K76/'IN (mmol|L)'!$V$87)</f>
        <v>5.5314814935821026</v>
      </c>
      <c r="AV7" s="1159">
        <f>IF('IN (mmol|L)'!L76="",AVERAGE(AS7:AU7),'IN (mmol|L)'!L76/'IN (mmol|L)'!$V$87)</f>
        <v>5.5314814852381566</v>
      </c>
      <c r="AW7" s="1159">
        <f>IF('IN (mmol|L)'!M76="",AVERAGE(AT7:AV7),'IN (mmol|L)'!M76/'IN (mmol|L)'!$V$87)</f>
        <v>5.5314814749434902</v>
      </c>
      <c r="AX7" s="1159">
        <f>IF('IN (mmol|L)'!N76="",AVERAGE(AU7:AW7),'IN (mmol|L)'!N76/'IN (mmol|L)'!$V$87)</f>
        <v>5.5314814845879168</v>
      </c>
      <c r="AY7" s="1159">
        <f>IF('IN (mmol|L)'!O76="",AVERAGE(AV7:AX7),'IN (mmol|L)'!O76/'IN (mmol|L)'!$V$87)</f>
        <v>5.5314814815898545</v>
      </c>
      <c r="AZ7" s="1159">
        <f>IF('IN (mmol|L)'!P76="",AVERAGE(AW7:AY7),'IN (mmol|L)'!P76/'IN (mmol|L)'!$V$87)</f>
        <v>5.5314814803737535</v>
      </c>
      <c r="BA7" s="1160">
        <f>IF('IN (mmol|L)'!Q76="",AVERAGE(AX7:AZ7),'IN (mmol|L)'!Q76/'IN (mmol|L)'!$V$87)</f>
        <v>5.5314814821838416</v>
      </c>
      <c r="BB7" s="1187">
        <f t="shared" si="2"/>
        <v>5.8813152896518277</v>
      </c>
      <c r="BC7" s="1188">
        <f t="shared" si="3"/>
        <v>1.1106445022369613</v>
      </c>
      <c r="BD7" s="1187">
        <f t="shared" si="4"/>
        <v>3.6600262851779051</v>
      </c>
      <c r="BE7" s="1202">
        <f t="shared" si="5"/>
        <v>8.1026042941257508</v>
      </c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</row>
    <row r="8" spans="1:70">
      <c r="A8" s="3">
        <f>'IN (mmol|L)'!D8</f>
        <v>0.72916666666666663</v>
      </c>
      <c r="B8" s="1150">
        <f>IF('IN (mmol|L)'!E8="",'IN (mmol|L)'!$R8/'IN (mmol|L)'!$V$18,'IN (mmol|L)'!E8/'IN (mmol|L)'!$V$18)</f>
        <v>6.9444444444444446</v>
      </c>
      <c r="C8" s="1151">
        <f>IF('IN (mmol|L)'!F8="",'IN (mmol|L)'!$R8/'IN (mmol|L)'!$V$18,'IN (mmol|L)'!F8/'IN (mmol|L)'!$V$18)</f>
        <v>8.2777777777777786</v>
      </c>
      <c r="D8" s="1151">
        <f>IF('IN (mmol|L)'!G8="",AVERAGE(B8:C8),'IN (mmol|L)'!G8/'IN (mmol|L)'!$V$18)</f>
        <v>7.0555555555555554</v>
      </c>
      <c r="E8" s="1151">
        <f>IF('IN (mmol|L)'!H8="",AVERAGE(B8:D8),'IN (mmol|L)'!H8/'IN (mmol|L)'!$V$18)</f>
        <v>5</v>
      </c>
      <c r="F8" s="1151">
        <f>IF('IN (mmol|L)'!I8="",AVERAGE(C8:E8),'IN (mmol|L)'!I8/'IN (mmol|L)'!$V$18)</f>
        <v>9.1666666666666661</v>
      </c>
      <c r="G8" s="1151">
        <f>IF('IN (mmol|L)'!J8="",AVERAGE(D8:F8),'IN (mmol|L)'!J8/'IN (mmol|L)'!$V$18)</f>
        <v>6</v>
      </c>
      <c r="H8" s="1151">
        <f>IF('IN (mmol|L)'!K8="",AVERAGE(E8:G8),'IN (mmol|L)'!K8/'IN (mmol|L)'!$V$18)</f>
        <v>9.1666666666666661</v>
      </c>
      <c r="I8" s="1151">
        <f>IF('IN (mmol|L)'!L8="",AVERAGE(F8:H8),'IN (mmol|L)'!L8/'IN (mmol|L)'!$V$18)</f>
        <v>6.9</v>
      </c>
      <c r="J8" s="1151">
        <f>IF('IN (mmol|L)'!M8="",AVERAGE(G8:I8),'IN (mmol|L)'!M8/'IN (mmol|L)'!$V$18)</f>
        <v>8.1999999999999993</v>
      </c>
      <c r="K8" s="1151">
        <f>IF('IN (mmol|L)'!N8="",AVERAGE(H8:J8),'IN (mmol|L)'!N8/'IN (mmol|L)'!$V$18)</f>
        <v>6.4</v>
      </c>
      <c r="L8" s="1151">
        <f>IF('IN (mmol|L)'!O8="",AVERAGE(I8:K8),'IN (mmol|L)'!O8/'IN (mmol|L)'!$V$18)</f>
        <v>5</v>
      </c>
      <c r="M8" s="1151">
        <f>IF('IN (mmol|L)'!P8="",AVERAGE(J8:L8),'IN (mmol|L)'!P8/'IN (mmol|L)'!$V$18)</f>
        <v>9.1999999999999993</v>
      </c>
      <c r="N8" s="1151">
        <f>IF('IN (mmol|L)'!Q8="",AVERAGE(K8:M8),'IN (mmol|L)'!Q8/'IN (mmol|L)'!$V$18)</f>
        <v>4.9000000000000004</v>
      </c>
      <c r="O8" s="1152">
        <f>IF('IN (mmol|L)'!E31="",AVERAGE(L8:N8),'IN (mmol|L)'!E31/'IN (mmol|L)'!$V$41)</f>
        <v>6.8</v>
      </c>
      <c r="P8" s="1153">
        <f>IF('IN (mmol|L)'!F31="",AVERAGE(M8:O8),'IN (mmol|L)'!F31/'IN (mmol|L)'!$V$41)</f>
        <v>8.1999999999999993</v>
      </c>
      <c r="Q8" s="1153">
        <f>IF('IN (mmol|L)'!G31="",AVERAGE(N8:P8),'IN (mmol|L)'!G31/'IN (mmol|L)'!$V$41)</f>
        <v>6.6333333333333329</v>
      </c>
      <c r="R8" s="1153">
        <f>IF('IN (mmol|L)'!H31="",AVERAGE(O8:Q8),'IN (mmol|L)'!H31/'IN (mmol|L)'!$V$41)</f>
        <v>7.2111111111111112</v>
      </c>
      <c r="S8" s="1153">
        <f>IF('IN (mmol|L)'!I31="",AVERAGE(P8:R8),'IN (mmol|L)'!I31/'IN (mmol|L)'!$V$41)</f>
        <v>7.3481481481481481</v>
      </c>
      <c r="T8" s="1153">
        <f>IF('IN (mmol|L)'!J31="",AVERAGE(Q8:S8),'IN (mmol|L)'!J31/'IN (mmol|L)'!$V$41)</f>
        <v>7.064197530864198</v>
      </c>
      <c r="U8" s="1153">
        <f>IF('IN (mmol|L)'!K31="",AVERAGE(R8:T8),'IN (mmol|L)'!K31/'IN (mmol|L)'!$V$41)</f>
        <v>7.207818930041153</v>
      </c>
      <c r="V8" s="1153">
        <f>IF('IN (mmol|L)'!L31="",AVERAGE(S8:U8),'IN (mmol|L)'!L31/'IN (mmol|L)'!$V$41)</f>
        <v>7.206721536351167</v>
      </c>
      <c r="W8" s="1153">
        <f>IF('IN (mmol|L)'!M31="",AVERAGE(T8:V8),'IN (mmol|L)'!M31/'IN (mmol|L)'!$V$41)</f>
        <v>7.1595793324188399</v>
      </c>
      <c r="X8" s="1153">
        <f>IF('IN (mmol|L)'!N31="",AVERAGE(U8:W8),'IN (mmol|L)'!N31/'IN (mmol|L)'!$V$41)</f>
        <v>7.1913732662703866</v>
      </c>
      <c r="Y8" s="1153">
        <f>IF('IN (mmol|L)'!O31="",AVERAGE(V8:X8),'IN (mmol|L)'!O31/'IN (mmol|L)'!$V$41)</f>
        <v>7.1858913783467981</v>
      </c>
      <c r="Z8" s="1153">
        <f>IF('IN (mmol|L)'!P31="",AVERAGE(W8:Y8),'IN (mmol|L)'!P31/'IN (mmol|L)'!$V$41)</f>
        <v>7.1789479923453419</v>
      </c>
      <c r="AA8" s="1154">
        <f>IF('IN (mmol|L)'!Q31="",AVERAGE(X8:Z8),'IN (mmol|L)'!Q31/'IN (mmol|L)'!$V$41)</f>
        <v>7.1854042123208428</v>
      </c>
      <c r="AB8" s="1155">
        <f>IF('IN (mmol|L)'!E54="",AVERAGE(Y8:AA8),'IN (mmol|L)'!E54/'IN (mmol|L)'!$V$64)</f>
        <v>7.183414527670994</v>
      </c>
      <c r="AC8" s="1156">
        <f>IF('IN (mmol|L)'!F54="",AVERAGE(Z8:AB8),'IN (mmol|L)'!F54/'IN (mmol|L)'!$V$64)</f>
        <v>7.1825889107790601</v>
      </c>
      <c r="AD8" s="1156">
        <f>IF('IN (mmol|L)'!G54="",AVERAGE(AA8:AC8),'IN (mmol|L)'!G54/'IN (mmol|L)'!$V$64)</f>
        <v>7.1838025502569662</v>
      </c>
      <c r="AE8" s="1156">
        <f>IF('IN (mmol|L)'!H54="",AVERAGE(AB8:AD8),'IN (mmol|L)'!H54/'IN (mmol|L)'!$V$64)</f>
        <v>7.1832686629023401</v>
      </c>
      <c r="AF8" s="1156">
        <f>IF('IN (mmol|L)'!I54="",AVERAGE(AC8:AE8),'IN (mmol|L)'!I54/'IN (mmol|L)'!$V$64)</f>
        <v>7.1832200413127891</v>
      </c>
      <c r="AG8" s="1156">
        <f>IF('IN (mmol|L)'!J54="",AVERAGE(AD8:AF8),'IN (mmol|L)'!J54/'IN (mmol|L)'!$V$64)</f>
        <v>7.1834304181573652</v>
      </c>
      <c r="AH8" s="1156">
        <f>IF('IN (mmol|L)'!K54="",AVERAGE(AE8:AG8),'IN (mmol|L)'!K54/'IN (mmol|L)'!$V$64)</f>
        <v>7.1833063741241645</v>
      </c>
      <c r="AI8" s="1156">
        <f>IF('IN (mmol|L)'!L54="",AVERAGE(AF8:AH8),'IN (mmol|L)'!L54/'IN (mmol|L)'!$V$64)</f>
        <v>7.1833189445314396</v>
      </c>
      <c r="AJ8" s="1156">
        <f>IF('IN (mmol|L)'!M54="",AVERAGE(AG8:AI8),'IN (mmol|L)'!M54/'IN (mmol|L)'!$V$64)</f>
        <v>7.1833519122709895</v>
      </c>
      <c r="AK8" s="1156">
        <f>IF('IN (mmol|L)'!N54="",AVERAGE(AH8:AJ8),'IN (mmol|L)'!N54/'IN (mmol|L)'!$V$64)</f>
        <v>7.1833257436421976</v>
      </c>
      <c r="AL8" s="1156">
        <f>IF('IN (mmol|L)'!O54="",AVERAGE(AI8:AK8),'IN (mmol|L)'!O54/'IN (mmol|L)'!$V$64)</f>
        <v>7.1833322001482083</v>
      </c>
      <c r="AM8" s="1156">
        <f>IF('IN (mmol|L)'!P54="",AVERAGE(AJ8:AL8),'IN (mmol|L)'!P54/'IN (mmol|L)'!$V$64)</f>
        <v>7.1833366186871315</v>
      </c>
      <c r="AN8" s="1157">
        <f>IF('IN (mmol|L)'!Q54="",AVERAGE(AK8:AM8),'IN (mmol|L)'!Q54/'IN (mmol|L)'!$V$64)</f>
        <v>7.1833315208258455</v>
      </c>
      <c r="AO8" s="1158">
        <f>IF('IN (mmol|L)'!E77="",AVERAGE(AL8:AN8),'IN (mmol|L)'!E77/'IN (mmol|L)'!$V$87)</f>
        <v>7.1833334465537284</v>
      </c>
      <c r="AP8" s="1159">
        <f>IF('IN (mmol|L)'!F77="",AVERAGE(AM8:AO8),'IN (mmol|L)'!F77/'IN (mmol|L)'!$V$87)</f>
        <v>7.1833338620222351</v>
      </c>
      <c r="AQ8" s="1159">
        <f>IF('IN (mmol|L)'!G77="",AVERAGE(AN8:AP8),'IN (mmol|L)'!G77/'IN (mmol|L)'!$V$87)</f>
        <v>7.1833329431339363</v>
      </c>
      <c r="AR8" s="1159">
        <f>IF('IN (mmol|L)'!H77="",AVERAGE(AO8:AQ8),'IN (mmol|L)'!H77/'IN (mmol|L)'!$V$87)</f>
        <v>7.183333417236633</v>
      </c>
      <c r="AS8" s="1159">
        <f>IF('IN (mmol|L)'!I77="",AVERAGE(AP8:AR8),'IN (mmol|L)'!I77/'IN (mmol|L)'!$V$87)</f>
        <v>7.1833334074642679</v>
      </c>
      <c r="AT8" s="1159">
        <f>IF('IN (mmol|L)'!J77="",AVERAGE(AQ8:AS8),'IN (mmol|L)'!J77/'IN (mmol|L)'!$V$87)</f>
        <v>7.1833332559449454</v>
      </c>
      <c r="AU8" s="1159">
        <f>IF('IN (mmol|L)'!K77="",AVERAGE(AR8:AT8),'IN (mmol|L)'!K77/'IN (mmol|L)'!$V$87)</f>
        <v>7.1833333602152818</v>
      </c>
      <c r="AV8" s="1159">
        <f>IF('IN (mmol|L)'!L77="",AVERAGE(AS8:AU8),'IN (mmol|L)'!L77/'IN (mmol|L)'!$V$87)</f>
        <v>7.183333341208165</v>
      </c>
      <c r="AW8" s="1159">
        <f>IF('IN (mmol|L)'!M77="",AVERAGE(AT8:AV8),'IN (mmol|L)'!M77/'IN (mmol|L)'!$V$87)</f>
        <v>7.1833333191227977</v>
      </c>
      <c r="AX8" s="1159">
        <f>IF('IN (mmol|L)'!N77="",AVERAGE(AU8:AW8),'IN (mmol|L)'!N77/'IN (mmol|L)'!$V$87)</f>
        <v>7.1833333401820818</v>
      </c>
      <c r="AY8" s="1159">
        <f>IF('IN (mmol|L)'!O77="",AVERAGE(AV8:AX8),'IN (mmol|L)'!O77/'IN (mmol|L)'!$V$87)</f>
        <v>7.1833333335043479</v>
      </c>
      <c r="AZ8" s="1159">
        <f>IF('IN (mmol|L)'!P77="",AVERAGE(AW8:AY8),'IN (mmol|L)'!P77/'IN (mmol|L)'!$V$87)</f>
        <v>7.1833333309364091</v>
      </c>
      <c r="BA8" s="1160">
        <f>IF('IN (mmol|L)'!Q77="",AVERAGE(AX8:AZ8),'IN (mmol|L)'!Q77/'IN (mmol|L)'!$V$87)</f>
        <v>7.1833333348742796</v>
      </c>
      <c r="BB8" s="1187">
        <f t="shared" si="2"/>
        <v>7.16442307693021</v>
      </c>
      <c r="BC8" s="1188">
        <f t="shared" si="3"/>
        <v>0.79937529289493381</v>
      </c>
      <c r="BD8" s="1187">
        <f t="shared" si="4"/>
        <v>5.5656724911403419</v>
      </c>
      <c r="BE8" s="1202">
        <f t="shared" si="5"/>
        <v>8.763173662720078</v>
      </c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</row>
    <row r="9" spans="1:70">
      <c r="A9" s="3">
        <f>'IN (mmol|L)'!D9</f>
        <v>0.83333333333333337</v>
      </c>
      <c r="B9" s="1150">
        <f>IF('IN (mmol|L)'!E9="",'IN (mmol|L)'!$R9/'IN (mmol|L)'!$V$18,'IN (mmol|L)'!E9/'IN (mmol|L)'!$V$18)</f>
        <v>7.7222222222222223</v>
      </c>
      <c r="C9" s="1151">
        <f>IF('IN (mmol|L)'!F9="",'IN (mmol|L)'!$R9/'IN (mmol|L)'!$V$18,'IN (mmol|L)'!F9/'IN (mmol|L)'!$V$18)</f>
        <v>10.722222222222221</v>
      </c>
      <c r="D9" s="1151">
        <f>IF('IN (mmol|L)'!G9="",AVERAGE(B9:C9),'IN (mmol|L)'!G9/'IN (mmol|L)'!$V$18)</f>
        <v>9.2222222222222214</v>
      </c>
      <c r="E9" s="1151">
        <f>IF('IN (mmol|L)'!H9="",AVERAGE(B9:D9),'IN (mmol|L)'!H9/'IN (mmol|L)'!$V$18)</f>
        <v>11.944444444444445</v>
      </c>
      <c r="F9" s="1151">
        <f>IF('IN (mmol|L)'!I9="",AVERAGE(C9:E9),'IN (mmol|L)'!I9/'IN (mmol|L)'!$V$18)</f>
        <v>10.666666666666666</v>
      </c>
      <c r="G9" s="1151">
        <f>IF('IN (mmol|L)'!J9="",AVERAGE(D9:F9),'IN (mmol|L)'!J9/'IN (mmol|L)'!$V$18)</f>
        <v>5.9444444444444446</v>
      </c>
      <c r="H9" s="1151">
        <f>IF('IN (mmol|L)'!K9="",AVERAGE(E9:G9),'IN (mmol|L)'!K9/'IN (mmol|L)'!$V$18)</f>
        <v>10.722222222222221</v>
      </c>
      <c r="I9" s="1151">
        <f>IF('IN (mmol|L)'!L9="",AVERAGE(F9:H9),'IN (mmol|L)'!L9/'IN (mmol|L)'!$V$18)</f>
        <v>7.7</v>
      </c>
      <c r="J9" s="1151">
        <f>IF('IN (mmol|L)'!M9="",AVERAGE(G9:I9),'IN (mmol|L)'!M9/'IN (mmol|L)'!$V$18)</f>
        <v>10.7</v>
      </c>
      <c r="K9" s="1151">
        <f>IF('IN (mmol|L)'!N9="",AVERAGE(H9:J9),'IN (mmol|L)'!N9/'IN (mmol|L)'!$V$18)</f>
        <v>7</v>
      </c>
      <c r="L9" s="1151">
        <f>IF('IN (mmol|L)'!O9="",AVERAGE(I9:K9),'IN (mmol|L)'!O9/'IN (mmol|L)'!$V$18)</f>
        <v>11.9</v>
      </c>
      <c r="M9" s="1151">
        <f>IF('IN (mmol|L)'!P9="",AVERAGE(J9:L9),'IN (mmol|L)'!P9/'IN (mmol|L)'!$V$18)</f>
        <v>10.8</v>
      </c>
      <c r="N9" s="1151">
        <f>IF('IN (mmol|L)'!Q9="",AVERAGE(K9:M9),'IN (mmol|L)'!Q9/'IN (mmol|L)'!$V$18)</f>
        <v>5.2</v>
      </c>
      <c r="O9" s="1152">
        <f>IF('IN (mmol|L)'!E32="",AVERAGE(L9:N9),'IN (mmol|L)'!E32/'IN (mmol|L)'!$V$41)</f>
        <v>5.2</v>
      </c>
      <c r="P9" s="1153">
        <f>IF('IN (mmol|L)'!F32="",AVERAGE(M9:O9),'IN (mmol|L)'!F32/'IN (mmol|L)'!$V$41)</f>
        <v>8.6999999999999993</v>
      </c>
      <c r="Q9" s="1153">
        <f>IF('IN (mmol|L)'!G32="",AVERAGE(N9:P9),'IN (mmol|L)'!G32/'IN (mmol|L)'!$V$41)</f>
        <v>6.3666666666666671</v>
      </c>
      <c r="R9" s="1153">
        <f>IF('IN (mmol|L)'!H32="",AVERAGE(O9:Q9),'IN (mmol|L)'!H32/'IN (mmol|L)'!$V$41)</f>
        <v>6.7555555555555555</v>
      </c>
      <c r="S9" s="1153">
        <f>IF('IN (mmol|L)'!I32="",AVERAGE(P9:R9),'IN (mmol|L)'!I32/'IN (mmol|L)'!$V$41)</f>
        <v>7.2740740740740746</v>
      </c>
      <c r="T9" s="1153">
        <f>IF('IN (mmol|L)'!J32="",AVERAGE(Q9:S9),'IN (mmol|L)'!J32/'IN (mmol|L)'!$V$41)</f>
        <v>6.798765432098766</v>
      </c>
      <c r="U9" s="1153">
        <f>IF('IN (mmol|L)'!K32="",AVERAGE(R9:T9),'IN (mmol|L)'!K32/'IN (mmol|L)'!$V$41)</f>
        <v>6.942798353909466</v>
      </c>
      <c r="V9" s="1153">
        <f>IF('IN (mmol|L)'!L32="",AVERAGE(S9:U9),'IN (mmol|L)'!L32/'IN (mmol|L)'!$V$41)</f>
        <v>7.0052126200274358</v>
      </c>
      <c r="W9" s="1153">
        <f>IF('IN (mmol|L)'!M32="",AVERAGE(T9:V9),'IN (mmol|L)'!M32/'IN (mmol|L)'!$V$41)</f>
        <v>6.9155921353452223</v>
      </c>
      <c r="X9" s="1153">
        <f>IF('IN (mmol|L)'!N32="",AVERAGE(U9:W9),'IN (mmol|L)'!N32/'IN (mmol|L)'!$V$41)</f>
        <v>6.954534369760708</v>
      </c>
      <c r="Y9" s="1153">
        <f>IF('IN (mmol|L)'!O32="",AVERAGE(V9:X9),'IN (mmol|L)'!O32/'IN (mmol|L)'!$V$41)</f>
        <v>6.9584463750444554</v>
      </c>
      <c r="Z9" s="1153">
        <f>IF('IN (mmol|L)'!P32="",AVERAGE(W9:Y9),'IN (mmol|L)'!P32/'IN (mmol|L)'!$V$41)</f>
        <v>6.942857626716795</v>
      </c>
      <c r="AA9" s="1154">
        <f>IF('IN (mmol|L)'!Q32="",AVERAGE(X9:Z9),'IN (mmol|L)'!Q32/'IN (mmol|L)'!$V$41)</f>
        <v>6.9519461238406528</v>
      </c>
      <c r="AB9" s="1155">
        <f>IF('IN (mmol|L)'!E55="",AVERAGE(Y9:AA9),'IN (mmol|L)'!E55/'IN (mmol|L)'!$V$64)</f>
        <v>6.9510833752006347</v>
      </c>
      <c r="AC9" s="1156">
        <f>IF('IN (mmol|L)'!F55="",AVERAGE(Z9:AB9),'IN (mmol|L)'!F55/'IN (mmol|L)'!$V$64)</f>
        <v>6.9486290419193608</v>
      </c>
      <c r="AD9" s="1156">
        <f>IF('IN (mmol|L)'!G55="",AVERAGE(AA9:AC9),'IN (mmol|L)'!G55/'IN (mmol|L)'!$V$64)</f>
        <v>6.9505528469868834</v>
      </c>
      <c r="AE9" s="1156">
        <f>IF('IN (mmol|L)'!H55="",AVERAGE(AB9:AD9),'IN (mmol|L)'!H55/'IN (mmol|L)'!$V$64)</f>
        <v>6.9500884213689602</v>
      </c>
      <c r="AF9" s="1156">
        <f>IF('IN (mmol|L)'!I55="",AVERAGE(AC9:AE9),'IN (mmol|L)'!I55/'IN (mmol|L)'!$V$64)</f>
        <v>6.9497567700917351</v>
      </c>
      <c r="AG9" s="1156">
        <f>IF('IN (mmol|L)'!J55="",AVERAGE(AD9:AF9),'IN (mmol|L)'!J55/'IN (mmol|L)'!$V$64)</f>
        <v>6.9501326794825262</v>
      </c>
      <c r="AH9" s="1156">
        <f>IF('IN (mmol|L)'!K55="",AVERAGE(AE9:AG9),'IN (mmol|L)'!K55/'IN (mmol|L)'!$V$64)</f>
        <v>6.9499926236477405</v>
      </c>
      <c r="AI9" s="1156">
        <f>IF('IN (mmol|L)'!L55="",AVERAGE(AF9:AH9),'IN (mmol|L)'!L55/'IN (mmol|L)'!$V$64)</f>
        <v>6.9499606910740006</v>
      </c>
      <c r="AJ9" s="1156">
        <f>IF('IN (mmol|L)'!M55="",AVERAGE(AG9:AI9),'IN (mmol|L)'!M55/'IN (mmol|L)'!$V$64)</f>
        <v>6.9500286647347558</v>
      </c>
      <c r="AK9" s="1156">
        <f>IF('IN (mmol|L)'!N55="",AVERAGE(AH9:AJ9),'IN (mmol|L)'!N55/'IN (mmol|L)'!$V$64)</f>
        <v>6.9499939931521659</v>
      </c>
      <c r="AL9" s="1156">
        <f>IF('IN (mmol|L)'!O55="",AVERAGE(AI9:AK9),'IN (mmol|L)'!O55/'IN (mmol|L)'!$V$64)</f>
        <v>6.9499944496536408</v>
      </c>
      <c r="AM9" s="1156">
        <f>IF('IN (mmol|L)'!P55="",AVERAGE(AJ9:AL9),'IN (mmol|L)'!P55/'IN (mmol|L)'!$V$64)</f>
        <v>6.9500057025135211</v>
      </c>
      <c r="AN9" s="1157">
        <f>IF('IN (mmol|L)'!Q55="",AVERAGE(AK9:AM9),'IN (mmol|L)'!Q55/'IN (mmol|L)'!$V$64)</f>
        <v>6.9499980484397765</v>
      </c>
      <c r="AO9" s="1158">
        <f>IF('IN (mmol|L)'!E78="",AVERAGE(AL9:AN9),'IN (mmol|L)'!E78/'IN (mmol|L)'!$V$87)</f>
        <v>6.9499994002023131</v>
      </c>
      <c r="AP9" s="1159">
        <f>IF('IN (mmol|L)'!F78="",AVERAGE(AM9:AO9),'IN (mmol|L)'!F78/'IN (mmol|L)'!$V$87)</f>
        <v>6.9500010503852039</v>
      </c>
      <c r="AQ9" s="1159">
        <f>IF('IN (mmol|L)'!G78="",AVERAGE(AN9:AP9),'IN (mmol|L)'!G78/'IN (mmol|L)'!$V$87)</f>
        <v>6.9499994996757648</v>
      </c>
      <c r="AR9" s="1159">
        <f>IF('IN (mmol|L)'!H78="",AVERAGE(AO9:AQ9),'IN (mmol|L)'!H78/'IN (mmol|L)'!$V$87)</f>
        <v>6.9499999834210939</v>
      </c>
      <c r="AS9" s="1159">
        <f>IF('IN (mmol|L)'!I78="",AVERAGE(AP9:AR9),'IN (mmol|L)'!I78/'IN (mmol|L)'!$V$87)</f>
        <v>6.9500001778273548</v>
      </c>
      <c r="AT9" s="1159">
        <f>IF('IN (mmol|L)'!J78="",AVERAGE(AQ9:AS9),'IN (mmol|L)'!J78/'IN (mmol|L)'!$V$87)</f>
        <v>6.9499998869747381</v>
      </c>
      <c r="AU9" s="1159">
        <f>IF('IN (mmol|L)'!K78="",AVERAGE(AR9:AT9),'IN (mmol|L)'!K78/'IN (mmol|L)'!$V$87)</f>
        <v>6.9500000160743953</v>
      </c>
      <c r="AV9" s="1159">
        <f>IF('IN (mmol|L)'!L78="",AVERAGE(AS9:AU9),'IN (mmol|L)'!L78/'IN (mmol|L)'!$V$87)</f>
        <v>6.9500000269588291</v>
      </c>
      <c r="AW9" s="1159">
        <f>IF('IN (mmol|L)'!M78="",AVERAGE(AT9:AV9),'IN (mmol|L)'!M78/'IN (mmol|L)'!$V$87)</f>
        <v>6.9499999766693206</v>
      </c>
      <c r="AX9" s="1159">
        <f>IF('IN (mmol|L)'!N78="",AVERAGE(AU9:AW9),'IN (mmol|L)'!N78/'IN (mmol|L)'!$V$87)</f>
        <v>6.9500000065675147</v>
      </c>
      <c r="AY9" s="1159">
        <f>IF('IN (mmol|L)'!O78="",AVERAGE(AV9:AX9),'IN (mmol|L)'!O78/'IN (mmol|L)'!$V$87)</f>
        <v>6.9500000033985545</v>
      </c>
      <c r="AZ9" s="1159">
        <f>IF('IN (mmol|L)'!P78="",AVERAGE(AW9:AY9),'IN (mmol|L)'!P78/'IN (mmol|L)'!$V$87)</f>
        <v>6.9499999955451299</v>
      </c>
      <c r="BA9" s="1160">
        <f>IF('IN (mmol|L)'!Q78="",AVERAGE(AX9:AZ9),'IN (mmol|L)'!Q78/'IN (mmol|L)'!$V$87)</f>
        <v>6.9500000018370658</v>
      </c>
      <c r="BB9" s="1187">
        <f t="shared" si="2"/>
        <v>7.5136752136786011</v>
      </c>
      <c r="BC9" s="1188">
        <f t="shared" si="3"/>
        <v>1.5410484094788728</v>
      </c>
      <c r="BD9" s="1187">
        <f t="shared" si="4"/>
        <v>4.4315783947208551</v>
      </c>
      <c r="BE9" s="1202">
        <f t="shared" si="5"/>
        <v>10.595772032636347</v>
      </c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</row>
    <row r="10" spans="1:70">
      <c r="A10" s="3">
        <f>'IN (mmol|L)'!D10</f>
        <v>0.95833333333333337</v>
      </c>
      <c r="B10" s="1150">
        <f>IF('IN (mmol|L)'!E10="",'IN (mmol|L)'!$R10/'IN (mmol|L)'!$V$18,'IN (mmol|L)'!E10/'IN (mmol|L)'!$V$18)</f>
        <v>7.3888888888888893</v>
      </c>
      <c r="C10" s="1151">
        <f>IF('IN (mmol|L)'!F10="",'IN (mmol|L)'!$R10/'IN (mmol|L)'!$V$18,'IN (mmol|L)'!F10/'IN (mmol|L)'!$V$18)</f>
        <v>9</v>
      </c>
      <c r="D10" s="1151">
        <f>IF('IN (mmol|L)'!G10="",AVERAGE(B10:C10),'IN (mmol|L)'!G10/'IN (mmol|L)'!$V$18)</f>
        <v>7.5555555555555554</v>
      </c>
      <c r="E10" s="1151">
        <f>IF('IN (mmol|L)'!H10="",AVERAGE(B10:D10),'IN (mmol|L)'!H10/'IN (mmol|L)'!$V$18)</f>
        <v>5.2777777777777777</v>
      </c>
      <c r="F10" s="1151">
        <f>IF('IN (mmol|L)'!I10="",AVERAGE(C10:E10),'IN (mmol|L)'!I10/'IN (mmol|L)'!$V$18)</f>
        <v>9.7222222222222214</v>
      </c>
      <c r="G10" s="1151">
        <f>IF('IN (mmol|L)'!J10="",AVERAGE(D10:F10),'IN (mmol|L)'!J10/'IN (mmol|L)'!$V$18)</f>
        <v>10</v>
      </c>
      <c r="H10" s="1151">
        <f>IF('IN (mmol|L)'!K10="",AVERAGE(E10:G10),'IN (mmol|L)'!K10/'IN (mmol|L)'!$V$18)</f>
        <v>7.2222222222222223</v>
      </c>
      <c r="I10" s="1151">
        <f>IF('IN (mmol|L)'!L10="",AVERAGE(F10:H10),'IN (mmol|L)'!L10/'IN (mmol|L)'!$V$18)</f>
        <v>7.4</v>
      </c>
      <c r="J10" s="1151">
        <f>IF('IN (mmol|L)'!M10="",AVERAGE(G10:I10),'IN (mmol|L)'!M10/'IN (mmol|L)'!$V$18)</f>
        <v>9</v>
      </c>
      <c r="K10" s="1151">
        <f>IF('IN (mmol|L)'!N10="",AVERAGE(H10:J10),'IN (mmol|L)'!N10/'IN (mmol|L)'!$V$18)</f>
        <v>7.6</v>
      </c>
      <c r="L10" s="1151">
        <f>IF('IN (mmol|L)'!O10="",AVERAGE(I10:K10),'IN (mmol|L)'!O10/'IN (mmol|L)'!$V$18)</f>
        <v>5.3</v>
      </c>
      <c r="M10" s="1151">
        <f>IF('IN (mmol|L)'!P10="",AVERAGE(J10:L10),'IN (mmol|L)'!P10/'IN (mmol|L)'!$V$18)</f>
        <v>9.6999999999999993</v>
      </c>
      <c r="N10" s="1151">
        <f>IF('IN (mmol|L)'!Q10="",AVERAGE(K10:M10),'IN (mmol|L)'!Q10/'IN (mmol|L)'!$V$18)</f>
        <v>7.5333333333333323</v>
      </c>
      <c r="O10" s="1152">
        <f>IF('IN (mmol|L)'!E33="",AVERAGE(L10:N10),'IN (mmol|L)'!E33/'IN (mmol|L)'!$V$41)</f>
        <v>5.3</v>
      </c>
      <c r="P10" s="1153">
        <f>IF('IN (mmol|L)'!F33="",AVERAGE(M10:O10),'IN (mmol|L)'!F33/'IN (mmol|L)'!$V$41)</f>
        <v>7.9</v>
      </c>
      <c r="Q10" s="1153">
        <f>IF('IN (mmol|L)'!G33="",AVERAGE(N10:P10),'IN (mmol|L)'!G33/'IN (mmol|L)'!$V$41)</f>
        <v>6.9111111111111114</v>
      </c>
      <c r="R10" s="1153">
        <f>IF('IN (mmol|L)'!H33="",AVERAGE(O10:Q10),'IN (mmol|L)'!H33/'IN (mmol|L)'!$V$41)</f>
        <v>6.7037037037037033</v>
      </c>
      <c r="S10" s="1153">
        <f>IF('IN (mmol|L)'!I33="",AVERAGE(P10:R10),'IN (mmol|L)'!I33/'IN (mmol|L)'!$V$41)</f>
        <v>7.1716049382716056</v>
      </c>
      <c r="T10" s="1153">
        <f>IF('IN (mmol|L)'!J33="",AVERAGE(Q10:S10),'IN (mmol|L)'!J33/'IN (mmol|L)'!$V$41)</f>
        <v>6.9288065843621398</v>
      </c>
      <c r="U10" s="1153">
        <f>IF('IN (mmol|L)'!K33="",AVERAGE(R10:T10),'IN (mmol|L)'!K33/'IN (mmol|L)'!$V$41)</f>
        <v>6.9347050754458159</v>
      </c>
      <c r="V10" s="1153">
        <f>IF('IN (mmol|L)'!L33="",AVERAGE(S10:U10),'IN (mmol|L)'!L33/'IN (mmol|L)'!$V$41)</f>
        <v>7.0117055326931874</v>
      </c>
      <c r="W10" s="1153">
        <f>IF('IN (mmol|L)'!M33="",AVERAGE(T10:V10),'IN (mmol|L)'!M33/'IN (mmol|L)'!$V$41)</f>
        <v>6.9584057308337144</v>
      </c>
      <c r="X10" s="1153">
        <f>IF('IN (mmol|L)'!N33="",AVERAGE(U10:W10),'IN (mmol|L)'!N33/'IN (mmol|L)'!$V$41)</f>
        <v>6.9682721129909062</v>
      </c>
      <c r="Y10" s="1153">
        <f>IF('IN (mmol|L)'!O33="",AVERAGE(V10:X10),'IN (mmol|L)'!O33/'IN (mmol|L)'!$V$41)</f>
        <v>6.979461125505936</v>
      </c>
      <c r="Z10" s="1153">
        <f>IF('IN (mmol|L)'!P33="",AVERAGE(W10:Y10),'IN (mmol|L)'!P33/'IN (mmol|L)'!$V$41)</f>
        <v>6.9687129897768516</v>
      </c>
      <c r="AA10" s="1154">
        <f>IF('IN (mmol|L)'!Q33="",AVERAGE(X10:Z10),'IN (mmol|L)'!Q33/'IN (mmol|L)'!$V$41)</f>
        <v>6.9721487427578976</v>
      </c>
      <c r="AB10" s="1155">
        <f>IF('IN (mmol|L)'!E56="",AVERAGE(Y10:AA10),'IN (mmol|L)'!E56/'IN (mmol|L)'!$V$64)</f>
        <v>6.9734409526802281</v>
      </c>
      <c r="AC10" s="1156">
        <f>IF('IN (mmol|L)'!F56="",AVERAGE(Z10:AB10),'IN (mmol|L)'!F56/'IN (mmol|L)'!$V$64)</f>
        <v>6.9714342284049922</v>
      </c>
      <c r="AD10" s="1156">
        <f>IF('IN (mmol|L)'!G56="",AVERAGE(AA10:AC10),'IN (mmol|L)'!G56/'IN (mmol|L)'!$V$64)</f>
        <v>6.9723413079477057</v>
      </c>
      <c r="AE10" s="1156">
        <f>IF('IN (mmol|L)'!H56="",AVERAGE(AB10:AD10),'IN (mmol|L)'!H56/'IN (mmol|L)'!$V$64)</f>
        <v>6.9724054963443081</v>
      </c>
      <c r="AF10" s="1156">
        <f>IF('IN (mmol|L)'!I56="",AVERAGE(AC10:AE10),'IN (mmol|L)'!I56/'IN (mmol|L)'!$V$64)</f>
        <v>6.972060344232335</v>
      </c>
      <c r="AG10" s="1156">
        <f>IF('IN (mmol|L)'!J56="",AVERAGE(AD10:AF10),'IN (mmol|L)'!J56/'IN (mmol|L)'!$V$64)</f>
        <v>6.9722690495081165</v>
      </c>
      <c r="AH10" s="1156">
        <f>IF('IN (mmol|L)'!K56="",AVERAGE(AE10:AG10),'IN (mmol|L)'!K56/'IN (mmol|L)'!$V$64)</f>
        <v>6.9722449633615868</v>
      </c>
      <c r="AI10" s="1156">
        <f>IF('IN (mmol|L)'!L56="",AVERAGE(AF10:AH10),'IN (mmol|L)'!L56/'IN (mmol|L)'!$V$64)</f>
        <v>6.9721914523673467</v>
      </c>
      <c r="AJ10" s="1156">
        <f>IF('IN (mmol|L)'!M56="",AVERAGE(AG10:AI10),'IN (mmol|L)'!M56/'IN (mmol|L)'!$V$64)</f>
        <v>6.9722351550790167</v>
      </c>
      <c r="AK10" s="1156">
        <f>IF('IN (mmol|L)'!N56="",AVERAGE(AH10:AJ10),'IN (mmol|L)'!N56/'IN (mmol|L)'!$V$64)</f>
        <v>6.9722238569359831</v>
      </c>
      <c r="AL10" s="1156">
        <f>IF('IN (mmol|L)'!O56="",AVERAGE(AI10:AK10),'IN (mmol|L)'!O56/'IN (mmol|L)'!$V$64)</f>
        <v>6.9722168214607825</v>
      </c>
      <c r="AM10" s="1156">
        <f>IF('IN (mmol|L)'!P56="",AVERAGE(AJ10:AL10),'IN (mmol|L)'!P56/'IN (mmol|L)'!$V$64)</f>
        <v>6.9722252778252605</v>
      </c>
      <c r="AN10" s="1157">
        <f>IF('IN (mmol|L)'!Q56="",AVERAGE(AK10:AM10),'IN (mmol|L)'!Q56/'IN (mmol|L)'!$V$64)</f>
        <v>6.9722219854073417</v>
      </c>
      <c r="AO10" s="1158">
        <f>IF('IN (mmol|L)'!E79="",AVERAGE(AL10:AN10),'IN (mmol|L)'!E79/'IN (mmol|L)'!$V$87)</f>
        <v>6.9722213615644613</v>
      </c>
      <c r="AP10" s="1159">
        <f>IF('IN (mmol|L)'!F79="",AVERAGE(AM10:AO10),'IN (mmol|L)'!F79/'IN (mmol|L)'!$V$87)</f>
        <v>6.9722228749323536</v>
      </c>
      <c r="AQ10" s="1159">
        <f>IF('IN (mmol|L)'!G79="",AVERAGE(AN10:AP10),'IN (mmol|L)'!G79/'IN (mmol|L)'!$V$87)</f>
        <v>6.9722220739680516</v>
      </c>
      <c r="AR10" s="1159">
        <f>IF('IN (mmol|L)'!H79="",AVERAGE(AO10:AQ10),'IN (mmol|L)'!H79/'IN (mmol|L)'!$V$87)</f>
        <v>6.9722221034882885</v>
      </c>
      <c r="AS10" s="1159">
        <f>IF('IN (mmol|L)'!I79="",AVERAGE(AP10:AR10),'IN (mmol|L)'!I79/'IN (mmol|L)'!$V$87)</f>
        <v>6.9722223507962306</v>
      </c>
      <c r="AT10" s="1159">
        <f>IF('IN (mmol|L)'!J79="",AVERAGE(AQ10:AS10),'IN (mmol|L)'!J79/'IN (mmol|L)'!$V$87)</f>
        <v>6.9722221760841903</v>
      </c>
      <c r="AU10" s="1159">
        <f>IF('IN (mmol|L)'!K79="",AVERAGE(AR10:AT10),'IN (mmol|L)'!K79/'IN (mmol|L)'!$V$87)</f>
        <v>6.9722222101229034</v>
      </c>
      <c r="AV10" s="1159">
        <f>IF('IN (mmol|L)'!L79="",AVERAGE(AS10:AU10),'IN (mmol|L)'!L79/'IN (mmol|L)'!$V$87)</f>
        <v>6.9722222456677754</v>
      </c>
      <c r="AW10" s="1159">
        <f>IF('IN (mmol|L)'!M79="",AVERAGE(AT10:AV10),'IN (mmol|L)'!M79/'IN (mmol|L)'!$V$87)</f>
        <v>6.9722222106249561</v>
      </c>
      <c r="AX10" s="1159">
        <f>IF('IN (mmol|L)'!N79="",AVERAGE(AU10:AW10),'IN (mmol|L)'!N79/'IN (mmol|L)'!$V$87)</f>
        <v>6.9722222221385453</v>
      </c>
      <c r="AY10" s="1159">
        <f>IF('IN (mmol|L)'!O79="",AVERAGE(AV10:AX10),'IN (mmol|L)'!O79/'IN (mmol|L)'!$V$87)</f>
        <v>6.9722222261437592</v>
      </c>
      <c r="AZ10" s="1159">
        <f>IF('IN (mmol|L)'!P79="",AVERAGE(AW10:AY10),'IN (mmol|L)'!P79/'IN (mmol|L)'!$V$87)</f>
        <v>6.9722222196357535</v>
      </c>
      <c r="BA10" s="1160">
        <f>IF('IN (mmol|L)'!Q79="",AVERAGE(AX10:AZ10),'IN (mmol|L)'!Q79/'IN (mmol|L)'!$V$87)</f>
        <v>6.9722222226393527</v>
      </c>
      <c r="BB10" s="1187">
        <f t="shared" si="2"/>
        <v>7.1862891737848917</v>
      </c>
      <c r="BC10" s="1188">
        <f t="shared" si="3"/>
        <v>0.89579857304255006</v>
      </c>
      <c r="BD10" s="1187">
        <f t="shared" si="4"/>
        <v>5.3946920276997918</v>
      </c>
      <c r="BE10" s="1202">
        <f t="shared" si="5"/>
        <v>8.9778863198699916</v>
      </c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</row>
    <row r="11" spans="1:70">
      <c r="A11" s="3" t="str">
        <f>'IN (mmol|L)'!D11</f>
        <v>Nacht</v>
      </c>
      <c r="B11" s="1150">
        <f>IF('IN (mmol|L)'!E11="",'IN (mmol|L)'!$R11/'IN (mmol|L)'!$V$18,'IN (mmol|L)'!E11/'IN (mmol|L)'!$V$18)</f>
        <v>5.8888888888888893</v>
      </c>
      <c r="C11" s="1151">
        <f>IF('IN (mmol|L)'!F11="",'IN (mmol|L)'!$R11/'IN (mmol|L)'!$V$18,'IN (mmol|L)'!F11/'IN (mmol|L)'!$V$18)</f>
        <v>5.666666666666667</v>
      </c>
      <c r="D11" s="1151">
        <f>IF('IN (mmol|L)'!G11="",AVERAGE(B11:C11),'IN (mmol|L)'!G11/'IN (mmol|L)'!$V$18)</f>
        <v>6.5</v>
      </c>
      <c r="E11" s="1151">
        <f>IF('IN (mmol|L)'!H11="",AVERAGE(B11:D11),'IN (mmol|L)'!H11/'IN (mmol|L)'!$V$18)</f>
        <v>6.5555555555555554</v>
      </c>
      <c r="F11" s="1151">
        <f>IF('IN (mmol|L)'!I11="",AVERAGE(C11:E11),'IN (mmol|L)'!I11/'IN (mmol|L)'!$V$18)</f>
        <v>6.5</v>
      </c>
      <c r="G11" s="1151">
        <f>IF('IN (mmol|L)'!J11="",AVERAGE(D11:F11),'IN (mmol|L)'!J11/'IN (mmol|L)'!$V$18)</f>
        <v>5.2777777777777777</v>
      </c>
      <c r="H11" s="1151">
        <f>IF('IN (mmol|L)'!K11="",AVERAGE(E11:G11),'IN (mmol|L)'!K11/'IN (mmol|L)'!$V$18)</f>
        <v>5.5555555555555554</v>
      </c>
      <c r="I11" s="1151">
        <f>IF('IN (mmol|L)'!L11="",AVERAGE(F11:H11),'IN (mmol|L)'!L11/'IN (mmol|L)'!$V$18)</f>
        <v>5.9</v>
      </c>
      <c r="J11" s="1151">
        <f>IF('IN (mmol|L)'!M11="",AVERAGE(G11:I11),'IN (mmol|L)'!M11/'IN (mmol|L)'!$V$18)</f>
        <v>5.8</v>
      </c>
      <c r="K11" s="1151">
        <f>IF('IN (mmol|L)'!N11="",AVERAGE(H11:J11),'IN (mmol|L)'!N11/'IN (mmol|L)'!$V$18)</f>
        <v>6.5</v>
      </c>
      <c r="L11" s="1151">
        <f>IF('IN (mmol|L)'!O11="",AVERAGE(I11:K11),'IN (mmol|L)'!O11/'IN (mmol|L)'!$V$18)</f>
        <v>6.6</v>
      </c>
      <c r="M11" s="1151">
        <f>IF('IN (mmol|L)'!P11="",AVERAGE(J11:L11),'IN (mmol|L)'!P11/'IN (mmol|L)'!$V$18)</f>
        <v>6.5</v>
      </c>
      <c r="N11" s="1151">
        <f>IF('IN (mmol|L)'!Q11="",AVERAGE(K11:M11),'IN (mmol|L)'!Q11/'IN (mmol|L)'!$V$18)</f>
        <v>6.5333333333333341</v>
      </c>
      <c r="O11" s="1152">
        <f>IF('IN (mmol|L)'!E34="",AVERAGE(L11:N11),'IN (mmol|L)'!E34/'IN (mmol|L)'!$V$41)</f>
        <v>5.8</v>
      </c>
      <c r="P11" s="1153">
        <f>IF('IN (mmol|L)'!F34="",AVERAGE(M11:O11),'IN (mmol|L)'!F34/'IN (mmol|L)'!$V$41)</f>
        <v>6.1</v>
      </c>
      <c r="Q11" s="1153">
        <f>IF('IN (mmol|L)'!G34="",AVERAGE(N11:P11),'IN (mmol|L)'!G34/'IN (mmol|L)'!$V$41)</f>
        <v>6.1444444444444448</v>
      </c>
      <c r="R11" s="1153">
        <f>IF('IN (mmol|L)'!H34="",AVERAGE(O11:Q11),'IN (mmol|L)'!H34/'IN (mmol|L)'!$V$41)</f>
        <v>6.0148148148148151</v>
      </c>
      <c r="S11" s="1153">
        <f>IF('IN (mmol|L)'!I34="",AVERAGE(P11:R11),'IN (mmol|L)'!I34/'IN (mmol|L)'!$V$41)</f>
        <v>6.0864197530864201</v>
      </c>
      <c r="T11" s="1153">
        <f>IF('IN (mmol|L)'!J34="",AVERAGE(Q11:S11),'IN (mmol|L)'!J34/'IN (mmol|L)'!$V$41)</f>
        <v>6.0818930041152264</v>
      </c>
      <c r="U11" s="1153">
        <f>IF('IN (mmol|L)'!K34="",AVERAGE(R11:T11),'IN (mmol|L)'!K34/'IN (mmol|L)'!$V$41)</f>
        <v>6.0610425240054866</v>
      </c>
      <c r="V11" s="1153">
        <f>IF('IN (mmol|L)'!L34="",AVERAGE(S11:U11),'IN (mmol|L)'!L34/'IN (mmol|L)'!$V$41)</f>
        <v>6.076451760402378</v>
      </c>
      <c r="W11" s="1153">
        <f>IF('IN (mmol|L)'!M34="",AVERAGE(T11:V11),'IN (mmol|L)'!M34/'IN (mmol|L)'!$V$41)</f>
        <v>6.0731290961743634</v>
      </c>
      <c r="X11" s="1153">
        <f>IF('IN (mmol|L)'!N34="",AVERAGE(U11:W11),'IN (mmol|L)'!N34/'IN (mmol|L)'!$V$41)</f>
        <v>6.070207793527409</v>
      </c>
      <c r="Y11" s="1153">
        <f>IF('IN (mmol|L)'!O34="",AVERAGE(V11:X11),'IN (mmol|L)'!O34/'IN (mmol|L)'!$V$41)</f>
        <v>6.0732628833680495</v>
      </c>
      <c r="Z11" s="1153">
        <f>IF('IN (mmol|L)'!P34="",AVERAGE(W11:Y11),'IN (mmol|L)'!P34/'IN (mmol|L)'!$V$41)</f>
        <v>6.0721999243566067</v>
      </c>
      <c r="AA11" s="1154">
        <f>IF('IN (mmol|L)'!Q34="",AVERAGE(X11:Z11),'IN (mmol|L)'!Q34/'IN (mmol|L)'!$V$41)</f>
        <v>6.0718902004173545</v>
      </c>
      <c r="AB11" s="1155">
        <f>IF('IN (mmol|L)'!E57="",AVERAGE(Y11:AA11),'IN (mmol|L)'!E57/'IN (mmol|L)'!$V$64)</f>
        <v>6.0724510027140033</v>
      </c>
      <c r="AC11" s="1156">
        <f>IF('IN (mmol|L)'!F57="",AVERAGE(Z11:AB11),'IN (mmol|L)'!F57/'IN (mmol|L)'!$V$64)</f>
        <v>6.0721803758293218</v>
      </c>
      <c r="AD11" s="1156">
        <f>IF('IN (mmol|L)'!G57="",AVERAGE(AA11:AC11),'IN (mmol|L)'!G57/'IN (mmol|L)'!$V$64)</f>
        <v>6.0721738596535602</v>
      </c>
      <c r="AE11" s="1156">
        <f>IF('IN (mmol|L)'!H57="",AVERAGE(AB11:AD11),'IN (mmol|L)'!H57/'IN (mmol|L)'!$V$64)</f>
        <v>6.0722684127322948</v>
      </c>
      <c r="AF11" s="1156">
        <f>IF('IN (mmol|L)'!I57="",AVERAGE(AC11:AE11),'IN (mmol|L)'!I57/'IN (mmol|L)'!$V$64)</f>
        <v>6.0722075494050598</v>
      </c>
      <c r="AG11" s="1156">
        <f>IF('IN (mmol|L)'!J57="",AVERAGE(AD11:AF11),'IN (mmol|L)'!J57/'IN (mmol|L)'!$V$64)</f>
        <v>6.0722166072636385</v>
      </c>
      <c r="AH11" s="1156">
        <f>IF('IN (mmol|L)'!K57="",AVERAGE(AE11:AG11),'IN (mmol|L)'!K57/'IN (mmol|L)'!$V$64)</f>
        <v>6.072230856466998</v>
      </c>
      <c r="AI11" s="1156">
        <f>IF('IN (mmol|L)'!L57="",AVERAGE(AF11:AH11),'IN (mmol|L)'!L57/'IN (mmol|L)'!$V$64)</f>
        <v>6.0722183377118988</v>
      </c>
      <c r="AJ11" s="1156">
        <f>IF('IN (mmol|L)'!M57="",AVERAGE(AG11:AI11),'IN (mmol|L)'!M57/'IN (mmol|L)'!$V$64)</f>
        <v>6.0722219338141779</v>
      </c>
      <c r="AK11" s="1156">
        <f>IF('IN (mmol|L)'!N57="",AVERAGE(AH11:AJ11),'IN (mmol|L)'!N57/'IN (mmol|L)'!$V$64)</f>
        <v>6.0722237093310243</v>
      </c>
      <c r="AL11" s="1156">
        <f>IF('IN (mmol|L)'!O57="",AVERAGE(AI11:AK11),'IN (mmol|L)'!O57/'IN (mmol|L)'!$V$64)</f>
        <v>6.0722213269523664</v>
      </c>
      <c r="AM11" s="1156">
        <f>IF('IN (mmol|L)'!P57="",AVERAGE(AJ11:AL11),'IN (mmol|L)'!P57/'IN (mmol|L)'!$V$64)</f>
        <v>6.0722223233658568</v>
      </c>
      <c r="AN11" s="1157">
        <f>IF('IN (mmol|L)'!Q57="",AVERAGE(AK11:AM11),'IN (mmol|L)'!Q57/'IN (mmol|L)'!$V$64)</f>
        <v>6.0722224532164155</v>
      </c>
      <c r="AO11" s="1158">
        <f>IF('IN (mmol|L)'!E80="",AVERAGE(AL11:AN11),'IN (mmol|L)'!E80/'IN (mmol|L)'!$V$87)</f>
        <v>6.0722220345115465</v>
      </c>
      <c r="AP11" s="1159">
        <f>IF('IN (mmol|L)'!F80="",AVERAGE(AM11:AO11),'IN (mmol|L)'!F80/'IN (mmol|L)'!$V$87)</f>
        <v>6.0722222703646063</v>
      </c>
      <c r="AQ11" s="1159">
        <f>IF('IN (mmol|L)'!G80="",AVERAGE(AN11:AP11),'IN (mmol|L)'!G80/'IN (mmol|L)'!$V$87)</f>
        <v>6.0722222526975225</v>
      </c>
      <c r="AR11" s="1159">
        <f>IF('IN (mmol|L)'!H80="",AVERAGE(AO11:AQ11),'IN (mmol|L)'!H80/'IN (mmol|L)'!$V$87)</f>
        <v>6.0722221858578918</v>
      </c>
      <c r="AS11" s="1159">
        <f>IF('IN (mmol|L)'!I80="",AVERAGE(AP11:AR11),'IN (mmol|L)'!I80/'IN (mmol|L)'!$V$87)</f>
        <v>6.0722222363066729</v>
      </c>
      <c r="AT11" s="1159">
        <f>IF('IN (mmol|L)'!J80="",AVERAGE(AQ11:AS11),'IN (mmol|L)'!J80/'IN (mmol|L)'!$V$87)</f>
        <v>6.0722222249540287</v>
      </c>
      <c r="AU11" s="1159">
        <f>IF('IN (mmol|L)'!K80="",AVERAGE(AR11:AT11),'IN (mmol|L)'!K80/'IN (mmol|L)'!$V$87)</f>
        <v>6.0722222157061978</v>
      </c>
      <c r="AV11" s="1159">
        <f>IF('IN (mmol|L)'!L80="",AVERAGE(AS11:AU11),'IN (mmol|L)'!L80/'IN (mmol|L)'!$V$87)</f>
        <v>6.0722222256556329</v>
      </c>
      <c r="AW11" s="1159">
        <f>IF('IN (mmol|L)'!M80="",AVERAGE(AT11:AV11),'IN (mmol|L)'!M80/'IN (mmol|L)'!$V$87)</f>
        <v>6.0722222221052862</v>
      </c>
      <c r="AX11" s="1159">
        <f>IF('IN (mmol|L)'!N80="",AVERAGE(AU11:AW11),'IN (mmol|L)'!N80/'IN (mmol|L)'!$V$87)</f>
        <v>6.0722222211557053</v>
      </c>
      <c r="AY11" s="1159">
        <f>IF('IN (mmol|L)'!O80="",AVERAGE(AV11:AX11),'IN (mmol|L)'!O80/'IN (mmol|L)'!$V$87)</f>
        <v>6.0722222229722078</v>
      </c>
      <c r="AZ11" s="1159">
        <f>IF('IN (mmol|L)'!P80="",AVERAGE(AW11:AY11),'IN (mmol|L)'!P80/'IN (mmol|L)'!$V$87)</f>
        <v>6.0722222220777331</v>
      </c>
      <c r="BA11" s="1160">
        <f>IF('IN (mmol|L)'!Q80="",AVERAGE(AX11:AZ11),'IN (mmol|L)'!Q80/'IN (mmol|L)'!$V$87)</f>
        <v>6.0722222220685493</v>
      </c>
      <c r="BB11" s="1187">
        <f t="shared" si="2"/>
        <v>6.0842592592573164</v>
      </c>
      <c r="BC11" s="1188">
        <f t="shared" si="3"/>
        <v>0.23149113995837234</v>
      </c>
      <c r="BD11" s="1187">
        <f t="shared" si="4"/>
        <v>5.6212769793405712</v>
      </c>
      <c r="BE11" s="1202">
        <f t="shared" si="5"/>
        <v>6.5472415391740615</v>
      </c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</row>
    <row r="12" spans="1:70">
      <c r="A12" s="3" t="str">
        <f>'IN (mmol|L)'!D12</f>
        <v>Früh</v>
      </c>
      <c r="B12" s="1162">
        <f>IF('IN (mmol|L)'!E12="",'IN (mmol|L)'!$R12/'IN (mmol|L)'!$V$18,'IN (mmol|L)'!E12/'IN (mmol|L)'!$V$18)</f>
        <v>6.166666666666667</v>
      </c>
      <c r="C12" s="1163">
        <f>IF('IN (mmol|L)'!F12="",'IN (mmol|L)'!$R12/'IN (mmol|L)'!$V$18,'IN (mmol|L)'!F12/'IN (mmol|L)'!$V$18)</f>
        <v>6.1111111111111107</v>
      </c>
      <c r="D12" s="1151">
        <f>IF('IN (mmol|L)'!G12="",AVERAGE(B12:C12),'IN (mmol|L)'!G12/'IN (mmol|L)'!$V$18)</f>
        <v>6</v>
      </c>
      <c r="E12" s="1151">
        <f>IF('IN (mmol|L)'!H12="",AVERAGE(B12:D12),'IN (mmol|L)'!H12/'IN (mmol|L)'!$V$18)</f>
        <v>6.2222222222222223</v>
      </c>
      <c r="F12" s="1151">
        <f>IF('IN (mmol|L)'!I12="",AVERAGE(C12:E12),'IN (mmol|L)'!I12/'IN (mmol|L)'!$V$18)</f>
        <v>6</v>
      </c>
      <c r="G12" s="1151">
        <f>IF('IN (mmol|L)'!J12="",AVERAGE(D12:F12),'IN (mmol|L)'!J12/'IN (mmol|L)'!$V$18)</f>
        <v>6.2777777777777777</v>
      </c>
      <c r="H12" s="1151">
        <f>IF('IN (mmol|L)'!K12="",AVERAGE(E12:G12),'IN (mmol|L)'!K12/'IN (mmol|L)'!$V$18)</f>
        <v>6.2222222222222223</v>
      </c>
      <c r="I12" s="1151">
        <f>IF('IN (mmol|L)'!L12="",AVERAGE(F12:H12),'IN (mmol|L)'!L12/'IN (mmol|L)'!$V$18)</f>
        <v>6.166666666666667</v>
      </c>
      <c r="J12" s="1151">
        <f>IF('IN (mmol|L)'!M12="",AVERAGE(G12:I12),'IN (mmol|L)'!M12/'IN (mmol|L)'!$V$18)</f>
        <v>6.2222222222222223</v>
      </c>
      <c r="K12" s="1151">
        <f>IF('IN (mmol|L)'!N12="",AVERAGE(H12:J12),'IN (mmol|L)'!N12/'IN (mmol|L)'!$V$18)</f>
        <v>6</v>
      </c>
      <c r="L12" s="1151">
        <f>IF('IN (mmol|L)'!O12="",AVERAGE(I12:K12),'IN (mmol|L)'!O12/'IN (mmol|L)'!$V$18)</f>
        <v>6.2</v>
      </c>
      <c r="M12" s="1151">
        <f>IF('IN (mmol|L)'!P12="",AVERAGE(J12:L12),'IN (mmol|L)'!P12/'IN (mmol|L)'!$V$18)</f>
        <v>6.1407407407407399</v>
      </c>
      <c r="N12" s="1151">
        <f>IF('IN (mmol|L)'!Q12="",AVERAGE(K12:M12),'IN (mmol|L)'!Q12/'IN (mmol|L)'!$V$18)</f>
        <v>6.1135802469135792</v>
      </c>
      <c r="O12" s="1152">
        <f>IF('IN (mmol|L)'!E35="",AVERAGE(L12:N12),'IN (mmol|L)'!E35/'IN (mmol|L)'!$V$41)</f>
        <v>6.2</v>
      </c>
      <c r="P12" s="1153">
        <f>IF('IN (mmol|L)'!F35="",AVERAGE(M12:O12),'IN (mmol|L)'!F35/'IN (mmol|L)'!$V$41)</f>
        <v>6.3</v>
      </c>
      <c r="Q12" s="1153">
        <f>IF('IN (mmol|L)'!G35="",AVERAGE(N12:P12),'IN (mmol|L)'!G35/'IN (mmol|L)'!$V$41)</f>
        <v>6.2045267489711931</v>
      </c>
      <c r="R12" s="1153">
        <f>IF('IN (mmol|L)'!H35="",AVERAGE(O12:Q12),'IN (mmol|L)'!H35/'IN (mmol|L)'!$V$41)</f>
        <v>6.2348422496570644</v>
      </c>
      <c r="S12" s="1153">
        <f>IF('IN (mmol|L)'!I35="",AVERAGE(P12:R12),'IN (mmol|L)'!I35/'IN (mmol|L)'!$V$41)</f>
        <v>6.246456332876086</v>
      </c>
      <c r="T12" s="1153">
        <f>IF('IN (mmol|L)'!J35="",AVERAGE(Q12:S12),'IN (mmol|L)'!J35/'IN (mmol|L)'!$V$41)</f>
        <v>6.2286084438347809</v>
      </c>
      <c r="U12" s="1153">
        <f>IF('IN (mmol|L)'!K35="",AVERAGE(R12:T12),'IN (mmol|L)'!K35/'IN (mmol|L)'!$V$41)</f>
        <v>6.2366356754559762</v>
      </c>
      <c r="V12" s="1153">
        <f>IF('IN (mmol|L)'!L35="",AVERAGE(S12:U12),'IN (mmol|L)'!L35/'IN (mmol|L)'!$V$41)</f>
        <v>6.2372334840556141</v>
      </c>
      <c r="W12" s="1153">
        <f>IF('IN (mmol|L)'!M35="",AVERAGE(T12:V12),'IN (mmol|L)'!M35/'IN (mmol|L)'!$V$41)</f>
        <v>6.2341592011154567</v>
      </c>
      <c r="X12" s="1153">
        <f>IF('IN (mmol|L)'!N35="",AVERAGE(U12:W12),'IN (mmol|L)'!N35/'IN (mmol|L)'!$V$41)</f>
        <v>6.2360094535423487</v>
      </c>
      <c r="Y12" s="1153">
        <f>IF('IN (mmol|L)'!O35="",AVERAGE(V12:X12),'IN (mmol|L)'!O35/'IN (mmol|L)'!$V$41)</f>
        <v>6.2358007129044735</v>
      </c>
      <c r="Z12" s="1153">
        <f>IF('IN (mmol|L)'!P35="",AVERAGE(W12:Y12),'IN (mmol|L)'!P35/'IN (mmol|L)'!$V$41)</f>
        <v>6.2353231225207599</v>
      </c>
      <c r="AA12" s="1154">
        <f>IF('IN (mmol|L)'!Q35="",AVERAGE(X12:Z12),'IN (mmol|L)'!Q35/'IN (mmol|L)'!$V$41)</f>
        <v>6.235711096322528</v>
      </c>
      <c r="AB12" s="1155">
        <f>IF('IN (mmol|L)'!E58="",AVERAGE(Y12:AA12),'IN (mmol|L)'!E58/'IN (mmol|L)'!$V$64)</f>
        <v>6.2356116439159202</v>
      </c>
      <c r="AC12" s="1156">
        <f>IF('IN (mmol|L)'!F58="",AVERAGE(Z12:AB12),'IN (mmol|L)'!F58/'IN (mmol|L)'!$V$64)</f>
        <v>6.2355486209197366</v>
      </c>
      <c r="AD12" s="1156">
        <f>IF('IN (mmol|L)'!G58="",AVERAGE(AA12:AC12),'IN (mmol|L)'!G58/'IN (mmol|L)'!$V$64)</f>
        <v>6.2356237870527282</v>
      </c>
      <c r="AE12" s="1156">
        <f>IF('IN (mmol|L)'!H58="",AVERAGE(AB12:AD12),'IN (mmol|L)'!H58/'IN (mmol|L)'!$V$64)</f>
        <v>6.2355946839627947</v>
      </c>
      <c r="AF12" s="1156">
        <f>IF('IN (mmol|L)'!I58="",AVERAGE(AC12:AE12),'IN (mmol|L)'!I58/'IN (mmol|L)'!$V$64)</f>
        <v>6.2355890306450865</v>
      </c>
      <c r="AG12" s="1156">
        <f>IF('IN (mmol|L)'!J58="",AVERAGE(AD12:AF12),'IN (mmol|L)'!J58/'IN (mmol|L)'!$V$64)</f>
        <v>6.2356025005535365</v>
      </c>
      <c r="AH12" s="1156">
        <f>IF('IN (mmol|L)'!K58="",AVERAGE(AE12:AG12),'IN (mmol|L)'!K58/'IN (mmol|L)'!$V$64)</f>
        <v>6.2355954050538065</v>
      </c>
      <c r="AI12" s="1156">
        <f>IF('IN (mmol|L)'!L58="",AVERAGE(AF12:AH12),'IN (mmol|L)'!L58/'IN (mmol|L)'!$V$64)</f>
        <v>6.2355956454174768</v>
      </c>
      <c r="AJ12" s="1156">
        <f>IF('IN (mmol|L)'!M58="",AVERAGE(AG12:AI12),'IN (mmol|L)'!M58/'IN (mmol|L)'!$V$64)</f>
        <v>6.2355978503416063</v>
      </c>
      <c r="AK12" s="1156">
        <f>IF('IN (mmol|L)'!N58="",AVERAGE(AH12:AJ12),'IN (mmol|L)'!N58/'IN (mmol|L)'!$V$64)</f>
        <v>6.2355963002709629</v>
      </c>
      <c r="AL12" s="1156">
        <f>IF('IN (mmol|L)'!O58="",AVERAGE(AI12:AK12),'IN (mmol|L)'!O58/'IN (mmol|L)'!$V$64)</f>
        <v>6.2355965986766817</v>
      </c>
      <c r="AM12" s="1156">
        <f>IF('IN (mmol|L)'!P58="",AVERAGE(AJ12:AL12),'IN (mmol|L)'!P58/'IN (mmol|L)'!$V$64)</f>
        <v>6.23559691642975</v>
      </c>
      <c r="AN12" s="1157">
        <f>IF('IN (mmol|L)'!Q58="",AVERAGE(AK12:AM12),'IN (mmol|L)'!Q58/'IN (mmol|L)'!$V$64)</f>
        <v>6.2355966051257985</v>
      </c>
      <c r="AO12" s="1158">
        <f>IF('IN (mmol|L)'!E81="",AVERAGE(AL12:AN12),'IN (mmol|L)'!E81/'IN (mmol|L)'!$V$87)</f>
        <v>6.2355967067440767</v>
      </c>
      <c r="AP12" s="1159">
        <f>IF('IN (mmol|L)'!F81="",AVERAGE(AM12:AO12),'IN (mmol|L)'!F81/'IN (mmol|L)'!$V$87)</f>
        <v>6.2355967427665417</v>
      </c>
      <c r="AQ12" s="1159">
        <f>IF('IN (mmol|L)'!G81="",AVERAGE(AN12:AP12),'IN (mmol|L)'!G81/'IN (mmol|L)'!$V$87)</f>
        <v>6.2355966848788063</v>
      </c>
      <c r="AR12" s="1159">
        <f>IF('IN (mmol|L)'!H81="",AVERAGE(AO12:AQ12),'IN (mmol|L)'!H81/'IN (mmol|L)'!$V$87)</f>
        <v>6.2355967114631419</v>
      </c>
      <c r="AS12" s="1159">
        <f>IF('IN (mmol|L)'!I81="",AVERAGE(AP12:AR12),'IN (mmol|L)'!I81/'IN (mmol|L)'!$V$87)</f>
        <v>6.2355967130361636</v>
      </c>
      <c r="AT12" s="1159">
        <f>IF('IN (mmol|L)'!J81="",AVERAGE(AQ12:AS12),'IN (mmol|L)'!J81/'IN (mmol|L)'!$V$87)</f>
        <v>6.2355967031260375</v>
      </c>
      <c r="AU12" s="1159">
        <f>IF('IN (mmol|L)'!K81="",AVERAGE(AR12:AT12),'IN (mmol|L)'!K81/'IN (mmol|L)'!$V$87)</f>
        <v>6.2355967092084477</v>
      </c>
      <c r="AV12" s="1159">
        <f>IF('IN (mmol|L)'!L81="",AVERAGE(AS12:AU12),'IN (mmol|L)'!L81/'IN (mmol|L)'!$V$87)</f>
        <v>6.2355967084568826</v>
      </c>
      <c r="AW12" s="1159">
        <f>IF('IN (mmol|L)'!M81="",AVERAGE(AT12:AV12),'IN (mmol|L)'!M81/'IN (mmol|L)'!$V$87)</f>
        <v>6.2355967069304556</v>
      </c>
      <c r="AX12" s="1159">
        <f>IF('IN (mmol|L)'!N81="",AVERAGE(AU12:AW12),'IN (mmol|L)'!N81/'IN (mmol|L)'!$V$87)</f>
        <v>6.235596708198595</v>
      </c>
      <c r="AY12" s="1159">
        <f>IF('IN (mmol|L)'!O81="",AVERAGE(AV12:AX12),'IN (mmol|L)'!O81/'IN (mmol|L)'!$V$87)</f>
        <v>6.2355967078619772</v>
      </c>
      <c r="AZ12" s="1159">
        <f>IF('IN (mmol|L)'!P81="",AVERAGE(AW12:AY12),'IN (mmol|L)'!P81/'IN (mmol|L)'!$V$87)</f>
        <v>6.2355967076636754</v>
      </c>
      <c r="BA12" s="1160">
        <f>IF('IN (mmol|L)'!Q81="",AVERAGE(AX12:AZ12),'IN (mmol|L)'!Q81/'IN (mmol|L)'!$V$87)</f>
        <v>6.2355967079080825</v>
      </c>
      <c r="BB12" s="1190">
        <f t="shared" si="2"/>
        <v>6.2121926770078524</v>
      </c>
      <c r="BC12" s="1191">
        <f t="shared" si="3"/>
        <v>6.2159858380437687E-2</v>
      </c>
      <c r="BD12" s="1190">
        <f t="shared" si="4"/>
        <v>6.087872960246977</v>
      </c>
      <c r="BE12" s="1203">
        <f t="shared" si="5"/>
        <v>6.3365123937687278</v>
      </c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</row>
    <row r="13" spans="1:70">
      <c r="A13" s="4" t="s">
        <v>53</v>
      </c>
      <c r="B13" s="1165">
        <f t="shared" ref="B13:AG13" si="6">AVERAGE(B4:B12)</f>
        <v>7.0987654320987641</v>
      </c>
      <c r="C13" s="1204">
        <f t="shared" si="6"/>
        <v>7.5493827160493829</v>
      </c>
      <c r="D13" s="1204">
        <f t="shared" si="6"/>
        <v>7.3209876543209873</v>
      </c>
      <c r="E13" s="1204">
        <f t="shared" si="6"/>
        <v>7.30246913580247</v>
      </c>
      <c r="F13" s="1204">
        <f t="shared" si="6"/>
        <v>8.148148148148147</v>
      </c>
      <c r="G13" s="1204">
        <f t="shared" si="6"/>
        <v>7.4444444444444446</v>
      </c>
      <c r="H13" s="1204">
        <f t="shared" si="6"/>
        <v>7.833333333333333</v>
      </c>
      <c r="I13" s="1204">
        <f t="shared" si="6"/>
        <v>7.0962962962962957</v>
      </c>
      <c r="J13" s="1204">
        <f t="shared" si="6"/>
        <v>7.5691358024691358</v>
      </c>
      <c r="K13" s="1204">
        <f t="shared" si="6"/>
        <v>7.2958847736625518</v>
      </c>
      <c r="L13" s="1204">
        <f t="shared" si="6"/>
        <v>7.2333333333333325</v>
      </c>
      <c r="M13" s="1204">
        <f t="shared" si="6"/>
        <v>8.1860082304526749</v>
      </c>
      <c r="N13" s="1205">
        <f t="shared" si="6"/>
        <v>6.2866941015089166</v>
      </c>
      <c r="O13" s="1206">
        <f t="shared" si="6"/>
        <v>6.5123456790123448</v>
      </c>
      <c r="P13" s="1207">
        <f t="shared" si="6"/>
        <v>7.3222222222222229</v>
      </c>
      <c r="Q13" s="1207">
        <f t="shared" si="6"/>
        <v>6.7070873342478272</v>
      </c>
      <c r="R13" s="1207">
        <f t="shared" si="6"/>
        <v>6.8472184118274644</v>
      </c>
      <c r="S13" s="1207">
        <f t="shared" si="6"/>
        <v>6.9588426560991712</v>
      </c>
      <c r="T13" s="1207">
        <f t="shared" si="6"/>
        <v>6.837716134058156</v>
      </c>
      <c r="U13" s="1207">
        <f t="shared" si="6"/>
        <v>6.8812590673282639</v>
      </c>
      <c r="V13" s="1207">
        <f t="shared" si="6"/>
        <v>6.892605952495197</v>
      </c>
      <c r="W13" s="1207">
        <f t="shared" si="6"/>
        <v>6.8705270512938723</v>
      </c>
      <c r="X13" s="1207">
        <f t="shared" si="6"/>
        <v>6.881464023705778</v>
      </c>
      <c r="Y13" s="1207">
        <f t="shared" si="6"/>
        <v>6.8815323424982813</v>
      </c>
      <c r="Z13" s="1207">
        <f t="shared" si="6"/>
        <v>6.8778411391659775</v>
      </c>
      <c r="AA13" s="1208">
        <f t="shared" si="6"/>
        <v>6.8802791684566786</v>
      </c>
      <c r="AB13" s="1209">
        <f t="shared" si="6"/>
        <v>6.8798842167069791</v>
      </c>
      <c r="AC13" s="1210">
        <f t="shared" si="6"/>
        <v>6.8793348414432121</v>
      </c>
      <c r="AD13" s="1210">
        <f t="shared" si="6"/>
        <v>6.8798327422022911</v>
      </c>
      <c r="AE13" s="1210">
        <f t="shared" si="6"/>
        <v>6.8796839334508268</v>
      </c>
      <c r="AF13" s="1210">
        <f t="shared" si="6"/>
        <v>6.8796171723654433</v>
      </c>
      <c r="AG13" s="1210">
        <f t="shared" si="6"/>
        <v>6.8797112826728544</v>
      </c>
      <c r="AH13" s="1210">
        <f t="shared" ref="AH13:BA13" si="7">AVERAGE(AH4:AH12)</f>
        <v>6.8796707961630412</v>
      </c>
      <c r="AI13" s="1210">
        <f t="shared" si="7"/>
        <v>6.8796664170671118</v>
      </c>
      <c r="AJ13" s="1210">
        <f t="shared" si="7"/>
        <v>6.8796828319676706</v>
      </c>
      <c r="AK13" s="1210">
        <f t="shared" si="7"/>
        <v>6.879673348399276</v>
      </c>
      <c r="AL13" s="1210">
        <f t="shared" si="7"/>
        <v>6.8796741991446861</v>
      </c>
      <c r="AM13" s="1210">
        <f t="shared" si="7"/>
        <v>6.8796767931705425</v>
      </c>
      <c r="AN13" s="1211">
        <f t="shared" si="7"/>
        <v>6.8796747802381688</v>
      </c>
      <c r="AO13" s="1212">
        <f t="shared" si="7"/>
        <v>6.8796752575177997</v>
      </c>
      <c r="AP13" s="1213">
        <f t="shared" si="7"/>
        <v>6.8796756103088361</v>
      </c>
      <c r="AQ13" s="1213">
        <f t="shared" si="7"/>
        <v>6.8796752160216004</v>
      </c>
      <c r="AR13" s="1213">
        <f t="shared" si="7"/>
        <v>6.8796753612827457</v>
      </c>
      <c r="AS13" s="1213">
        <f t="shared" si="7"/>
        <v>6.879675395871061</v>
      </c>
      <c r="AT13" s="1213">
        <f t="shared" si="7"/>
        <v>6.8796753243918021</v>
      </c>
      <c r="AU13" s="1213">
        <f t="shared" si="7"/>
        <v>6.8796753605152032</v>
      </c>
      <c r="AV13" s="1213">
        <f t="shared" si="7"/>
        <v>6.8796753602593537</v>
      </c>
      <c r="AW13" s="1213">
        <f t="shared" si="7"/>
        <v>6.8796753483887869</v>
      </c>
      <c r="AX13" s="1213">
        <f t="shared" si="7"/>
        <v>6.8796753563877822</v>
      </c>
      <c r="AY13" s="1213">
        <f t="shared" si="7"/>
        <v>6.8796753550119742</v>
      </c>
      <c r="AZ13" s="1213">
        <f t="shared" si="7"/>
        <v>6.8796753532628472</v>
      </c>
      <c r="BA13" s="1214">
        <f t="shared" si="7"/>
        <v>6.8796753548875342</v>
      </c>
      <c r="BB13" s="1074"/>
      <c r="BC13" s="1074"/>
      <c r="BD13" s="1074"/>
      <c r="BE13" s="1074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</row>
    <row r="14" spans="1:70">
      <c r="A14" s="8" t="s">
        <v>4</v>
      </c>
      <c r="B14" s="1150">
        <f t="shared" ref="B14:AG14" si="8">MIN(B4:B12)</f>
        <v>4.7777777777777777</v>
      </c>
      <c r="C14" s="1151">
        <f t="shared" si="8"/>
        <v>5.666666666666667</v>
      </c>
      <c r="D14" s="1151">
        <f t="shared" si="8"/>
        <v>6</v>
      </c>
      <c r="E14" s="1151">
        <f t="shared" si="8"/>
        <v>5</v>
      </c>
      <c r="F14" s="1151">
        <f t="shared" si="8"/>
        <v>6</v>
      </c>
      <c r="G14" s="1151">
        <f t="shared" si="8"/>
        <v>5.2777777777777777</v>
      </c>
      <c r="H14" s="1151">
        <f t="shared" si="8"/>
        <v>5.5555555555555554</v>
      </c>
      <c r="I14" s="1151">
        <f t="shared" si="8"/>
        <v>4.8</v>
      </c>
      <c r="J14" s="1151">
        <f t="shared" si="8"/>
        <v>5.8</v>
      </c>
      <c r="K14" s="1151">
        <f t="shared" si="8"/>
        <v>6</v>
      </c>
      <c r="L14" s="1151">
        <f t="shared" si="8"/>
        <v>5</v>
      </c>
      <c r="M14" s="1151">
        <f t="shared" si="8"/>
        <v>6</v>
      </c>
      <c r="N14" s="1169">
        <f t="shared" si="8"/>
        <v>4.5</v>
      </c>
      <c r="O14" s="1152">
        <f t="shared" si="8"/>
        <v>5.2</v>
      </c>
      <c r="P14" s="1153">
        <f t="shared" si="8"/>
        <v>5.9</v>
      </c>
      <c r="Q14" s="1153">
        <f t="shared" si="8"/>
        <v>5.2814814814814817</v>
      </c>
      <c r="R14" s="1153">
        <f t="shared" si="8"/>
        <v>5.5419753086419759</v>
      </c>
      <c r="S14" s="1153">
        <f t="shared" si="8"/>
        <v>5.6078189300411525</v>
      </c>
      <c r="T14" s="1153">
        <f t="shared" si="8"/>
        <v>5.4770919067215367</v>
      </c>
      <c r="U14" s="1153">
        <f t="shared" si="8"/>
        <v>5.542295381801555</v>
      </c>
      <c r="V14" s="1153">
        <f t="shared" si="8"/>
        <v>5.5424020728547481</v>
      </c>
      <c r="W14" s="1153">
        <f t="shared" si="8"/>
        <v>5.5205964537926135</v>
      </c>
      <c r="X14" s="1153">
        <f t="shared" si="8"/>
        <v>5.5350979694829725</v>
      </c>
      <c r="Y14" s="1153">
        <f t="shared" si="8"/>
        <v>5.5326988320434447</v>
      </c>
      <c r="Z14" s="1153">
        <f t="shared" si="8"/>
        <v>5.5294644184396766</v>
      </c>
      <c r="AA14" s="1154">
        <f t="shared" si="8"/>
        <v>5.5324204066553646</v>
      </c>
      <c r="AB14" s="1155">
        <f t="shared" si="8"/>
        <v>5.5315278857128289</v>
      </c>
      <c r="AC14" s="1156">
        <f t="shared" si="8"/>
        <v>5.5311375702692906</v>
      </c>
      <c r="AD14" s="1156">
        <f t="shared" si="8"/>
        <v>5.5316952875458272</v>
      </c>
      <c r="AE14" s="1156">
        <f t="shared" si="8"/>
        <v>5.531453581175982</v>
      </c>
      <c r="AF14" s="1156">
        <f t="shared" si="8"/>
        <v>5.5314288129970324</v>
      </c>
      <c r="AG14" s="1156">
        <f t="shared" si="8"/>
        <v>5.5315258939062808</v>
      </c>
      <c r="AH14" s="1156">
        <f t="shared" ref="AH14:BA14" si="9">MIN(AH4:AH12)</f>
        <v>5.5314694293597642</v>
      </c>
      <c r="AI14" s="1156">
        <f t="shared" si="9"/>
        <v>5.5314747120876921</v>
      </c>
      <c r="AJ14" s="1156">
        <f t="shared" si="9"/>
        <v>5.5314900117845793</v>
      </c>
      <c r="AK14" s="1156">
        <f t="shared" si="9"/>
        <v>5.5314780510773458</v>
      </c>
      <c r="AL14" s="1156">
        <f t="shared" si="9"/>
        <v>5.5314809249832058</v>
      </c>
      <c r="AM14" s="1156">
        <f t="shared" si="9"/>
        <v>5.5314829959483767</v>
      </c>
      <c r="AN14" s="1157">
        <f t="shared" si="9"/>
        <v>5.53148065733631</v>
      </c>
      <c r="AO14" s="1158">
        <f t="shared" si="9"/>
        <v>5.5314815260892978</v>
      </c>
      <c r="AP14" s="1159">
        <f t="shared" si="9"/>
        <v>5.5314817264579945</v>
      </c>
      <c r="AQ14" s="1159">
        <f t="shared" si="9"/>
        <v>5.5314813032945338</v>
      </c>
      <c r="AR14" s="1159">
        <f t="shared" si="9"/>
        <v>5.5314815186139414</v>
      </c>
      <c r="AS14" s="1159">
        <f t="shared" si="9"/>
        <v>5.531481516122156</v>
      </c>
      <c r="AT14" s="1159">
        <f t="shared" si="9"/>
        <v>5.5314814460102104</v>
      </c>
      <c r="AU14" s="1159">
        <f t="shared" si="9"/>
        <v>5.5314814935821026</v>
      </c>
      <c r="AV14" s="1159">
        <f t="shared" si="9"/>
        <v>5.5314814852381566</v>
      </c>
      <c r="AW14" s="1159">
        <f t="shared" si="9"/>
        <v>5.5314814749434902</v>
      </c>
      <c r="AX14" s="1159">
        <f t="shared" si="9"/>
        <v>5.5314814845879168</v>
      </c>
      <c r="AY14" s="1159">
        <f t="shared" si="9"/>
        <v>5.5314814815898545</v>
      </c>
      <c r="AZ14" s="1159">
        <f t="shared" si="9"/>
        <v>5.5314814803737535</v>
      </c>
      <c r="BA14" s="1160">
        <f t="shared" si="9"/>
        <v>5.5314814821838416</v>
      </c>
      <c r="BB14" s="1074"/>
      <c r="BC14" s="1074"/>
      <c r="BD14" s="1074"/>
      <c r="BE14" s="1074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</row>
    <row r="15" spans="1:70">
      <c r="A15" s="9" t="s">
        <v>18</v>
      </c>
      <c r="B15" s="1162">
        <f t="shared" ref="B15:AG15" si="10">MAX(B4:B12)</f>
        <v>10.611111111111111</v>
      </c>
      <c r="C15" s="1163">
        <f t="shared" si="10"/>
        <v>10.722222222222221</v>
      </c>
      <c r="D15" s="1163">
        <f t="shared" si="10"/>
        <v>10.388888888888889</v>
      </c>
      <c r="E15" s="1163">
        <f t="shared" si="10"/>
        <v>11.944444444444445</v>
      </c>
      <c r="F15" s="1163">
        <f t="shared" si="10"/>
        <v>10.666666666666666</v>
      </c>
      <c r="G15" s="1163">
        <f t="shared" si="10"/>
        <v>12.111111111111111</v>
      </c>
      <c r="H15" s="1163">
        <f t="shared" si="10"/>
        <v>10.722222222222221</v>
      </c>
      <c r="I15" s="1163">
        <f t="shared" si="10"/>
        <v>10.6</v>
      </c>
      <c r="J15" s="1163">
        <f t="shared" si="10"/>
        <v>10.7</v>
      </c>
      <c r="K15" s="1163">
        <f t="shared" si="10"/>
        <v>10.3</v>
      </c>
      <c r="L15" s="1163">
        <f t="shared" si="10"/>
        <v>11.9</v>
      </c>
      <c r="M15" s="1163">
        <f t="shared" si="10"/>
        <v>10.8</v>
      </c>
      <c r="N15" s="1170">
        <f t="shared" si="10"/>
        <v>9.6</v>
      </c>
      <c r="O15" s="1171">
        <f t="shared" si="10"/>
        <v>10.133333333333333</v>
      </c>
      <c r="P15" s="1172">
        <f t="shared" si="10"/>
        <v>9.4</v>
      </c>
      <c r="Q15" s="1172">
        <f t="shared" si="10"/>
        <v>9.7111111111111104</v>
      </c>
      <c r="R15" s="1172">
        <f t="shared" si="10"/>
        <v>9.7481481481481467</v>
      </c>
      <c r="S15" s="1172">
        <f t="shared" si="10"/>
        <v>9.6197530864197525</v>
      </c>
      <c r="T15" s="1172">
        <f t="shared" si="10"/>
        <v>9.6930041152263353</v>
      </c>
      <c r="U15" s="1172">
        <f t="shared" si="10"/>
        <v>9.6869684499314115</v>
      </c>
      <c r="V15" s="1172">
        <f t="shared" si="10"/>
        <v>9.6665752171925003</v>
      </c>
      <c r="W15" s="1172">
        <f t="shared" si="10"/>
        <v>9.6821825941167479</v>
      </c>
      <c r="X15" s="1172">
        <f t="shared" si="10"/>
        <v>9.6785754204135532</v>
      </c>
      <c r="Y15" s="1172">
        <f t="shared" si="10"/>
        <v>9.6757777439076005</v>
      </c>
      <c r="Z15" s="1172">
        <f t="shared" si="10"/>
        <v>9.6788452528126339</v>
      </c>
      <c r="AA15" s="1173">
        <f t="shared" si="10"/>
        <v>9.6777328057112637</v>
      </c>
      <c r="AB15" s="1174">
        <f t="shared" si="10"/>
        <v>9.6774519341438321</v>
      </c>
      <c r="AC15" s="1175">
        <f t="shared" si="10"/>
        <v>9.6780099975559093</v>
      </c>
      <c r="AD15" s="1175">
        <f t="shared" si="10"/>
        <v>9.6777315791370029</v>
      </c>
      <c r="AE15" s="1175">
        <f t="shared" si="10"/>
        <v>9.6777311702789159</v>
      </c>
      <c r="AF15" s="1175">
        <f t="shared" si="10"/>
        <v>9.6778242489906106</v>
      </c>
      <c r="AG15" s="1175">
        <f t="shared" si="10"/>
        <v>9.6777623328021765</v>
      </c>
      <c r="AH15" s="1175">
        <f t="shared" ref="AH15:BA15" si="11">MAX(AH4:AH12)</f>
        <v>9.6777725840239004</v>
      </c>
      <c r="AI15" s="1175">
        <f t="shared" si="11"/>
        <v>9.6777863886055613</v>
      </c>
      <c r="AJ15" s="1175">
        <f t="shared" si="11"/>
        <v>9.6777737684772127</v>
      </c>
      <c r="AK15" s="1175">
        <f t="shared" si="11"/>
        <v>9.6777775803688915</v>
      </c>
      <c r="AL15" s="1175">
        <f t="shared" si="11"/>
        <v>9.6777792458172218</v>
      </c>
      <c r="AM15" s="1175">
        <f t="shared" si="11"/>
        <v>9.6777768648877753</v>
      </c>
      <c r="AN15" s="1176">
        <f t="shared" si="11"/>
        <v>9.6777778970246295</v>
      </c>
      <c r="AO15" s="1177">
        <f t="shared" si="11"/>
        <v>9.6777780025765416</v>
      </c>
      <c r="AP15" s="1178">
        <f t="shared" si="11"/>
        <v>9.6777775881629822</v>
      </c>
      <c r="AQ15" s="1178">
        <f t="shared" si="11"/>
        <v>9.6777778292547172</v>
      </c>
      <c r="AR15" s="1178">
        <f t="shared" si="11"/>
        <v>9.6777778066647482</v>
      </c>
      <c r="AS15" s="1178">
        <f t="shared" si="11"/>
        <v>9.6777777413608153</v>
      </c>
      <c r="AT15" s="1178">
        <f t="shared" si="11"/>
        <v>9.6777777924267596</v>
      </c>
      <c r="AU15" s="1178">
        <f t="shared" si="11"/>
        <v>9.6777777801507749</v>
      </c>
      <c r="AV15" s="1178">
        <f t="shared" si="11"/>
        <v>9.6777777713127833</v>
      </c>
      <c r="AW15" s="1178">
        <f t="shared" si="11"/>
        <v>9.6777777812967738</v>
      </c>
      <c r="AX15" s="1178">
        <f t="shared" si="11"/>
        <v>9.6777777775867779</v>
      </c>
      <c r="AY15" s="1178">
        <f t="shared" si="11"/>
        <v>9.6777777767321123</v>
      </c>
      <c r="AZ15" s="1178">
        <f t="shared" si="11"/>
        <v>9.6777777785385553</v>
      </c>
      <c r="BA15" s="1179">
        <f t="shared" si="11"/>
        <v>9.6777777776191485</v>
      </c>
      <c r="BB15" s="1074"/>
      <c r="BC15" s="1074"/>
      <c r="BD15" s="1074"/>
      <c r="BE15" s="1074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</row>
    <row r="16" spans="1:70" s="1" customFormat="1">
      <c r="A16" s="3" t="s">
        <v>58</v>
      </c>
      <c r="B16" s="1074">
        <f>B13</f>
        <v>7.0987654320987641</v>
      </c>
      <c r="C16" s="1074">
        <f>AVERAGE(B13:C13)</f>
        <v>7.3240740740740735</v>
      </c>
      <c r="D16" s="1074">
        <f>AVERAGE(B13:D13)</f>
        <v>7.3230452674897109</v>
      </c>
      <c r="E16" s="1074">
        <f t="shared" ref="E16:N16" si="12">AVERAGE(B13:E13)</f>
        <v>7.3179012345679002</v>
      </c>
      <c r="F16" s="1074">
        <f t="shared" si="12"/>
        <v>7.5802469135802468</v>
      </c>
      <c r="G16" s="1074">
        <f t="shared" si="12"/>
        <v>7.5540123456790127</v>
      </c>
      <c r="H16" s="1074">
        <f t="shared" si="12"/>
        <v>7.6820987654320989</v>
      </c>
      <c r="I16" s="1074">
        <f t="shared" si="12"/>
        <v>7.6305555555555546</v>
      </c>
      <c r="J16" s="1074">
        <f t="shared" si="12"/>
        <v>7.4858024691358018</v>
      </c>
      <c r="K16" s="1074">
        <f t="shared" si="12"/>
        <v>7.4486625514403286</v>
      </c>
      <c r="L16" s="1074">
        <f t="shared" si="12"/>
        <v>7.29866255144033</v>
      </c>
      <c r="M16" s="1074">
        <f t="shared" si="12"/>
        <v>7.5710905349794233</v>
      </c>
      <c r="N16" s="1074">
        <f t="shared" si="12"/>
        <v>7.2504801097393692</v>
      </c>
      <c r="O16" s="1074">
        <f>AVERAGE(L13:P13)</f>
        <v>7.1081207133058983</v>
      </c>
      <c r="P16" s="1074">
        <f t="shared" ref="P16:BA16" si="13">AVERAGE(M13:P13)</f>
        <v>7.07681755829904</v>
      </c>
      <c r="Q16" s="1074">
        <f t="shared" si="13"/>
        <v>6.7070873342478281</v>
      </c>
      <c r="R16" s="1074">
        <f t="shared" si="13"/>
        <v>6.8472184118274644</v>
      </c>
      <c r="S16" s="1074">
        <f t="shared" si="13"/>
        <v>6.9588426560991721</v>
      </c>
      <c r="T16" s="1074">
        <f t="shared" si="13"/>
        <v>6.8377161340581543</v>
      </c>
      <c r="U16" s="1074">
        <f t="shared" si="13"/>
        <v>6.8812590673282639</v>
      </c>
      <c r="V16" s="1074">
        <f t="shared" si="13"/>
        <v>6.892605952495197</v>
      </c>
      <c r="W16" s="1074">
        <f t="shared" si="13"/>
        <v>6.8705270512938723</v>
      </c>
      <c r="X16" s="1074">
        <f t="shared" si="13"/>
        <v>6.881464023705778</v>
      </c>
      <c r="Y16" s="1074">
        <f t="shared" si="13"/>
        <v>6.8815323424982822</v>
      </c>
      <c r="Z16" s="1074">
        <f t="shared" si="13"/>
        <v>6.8778411391659775</v>
      </c>
      <c r="AA16" s="1074">
        <f t="shared" si="13"/>
        <v>6.8802791684566786</v>
      </c>
      <c r="AB16" s="1074">
        <f t="shared" si="13"/>
        <v>6.8798842167069791</v>
      </c>
      <c r="AC16" s="1074">
        <f t="shared" si="13"/>
        <v>6.8793348414432121</v>
      </c>
      <c r="AD16" s="1074">
        <f t="shared" si="13"/>
        <v>6.8798327422022894</v>
      </c>
      <c r="AE16" s="1074">
        <f t="shared" si="13"/>
        <v>6.8796839334508277</v>
      </c>
      <c r="AF16" s="1074">
        <f t="shared" si="13"/>
        <v>6.8796171723654433</v>
      </c>
      <c r="AG16" s="1074">
        <f t="shared" si="13"/>
        <v>6.8797112826728535</v>
      </c>
      <c r="AH16" s="1074">
        <f t="shared" si="13"/>
        <v>6.8796707961630412</v>
      </c>
      <c r="AI16" s="1074">
        <f t="shared" si="13"/>
        <v>6.8796664170671118</v>
      </c>
      <c r="AJ16" s="1074">
        <f t="shared" si="13"/>
        <v>6.8796828319676688</v>
      </c>
      <c r="AK16" s="1074">
        <f t="shared" si="13"/>
        <v>6.8796733483992751</v>
      </c>
      <c r="AL16" s="1074">
        <f t="shared" si="13"/>
        <v>6.8796741991446861</v>
      </c>
      <c r="AM16" s="1074">
        <f t="shared" si="13"/>
        <v>6.8796767931705434</v>
      </c>
      <c r="AN16" s="1074">
        <f t="shared" si="13"/>
        <v>6.8796747802381688</v>
      </c>
      <c r="AO16" s="1074">
        <f t="shared" si="13"/>
        <v>6.8796752575177988</v>
      </c>
      <c r="AP16" s="1074">
        <f t="shared" si="13"/>
        <v>6.879675610308837</v>
      </c>
      <c r="AQ16" s="1074">
        <f t="shared" si="13"/>
        <v>6.8796752160216013</v>
      </c>
      <c r="AR16" s="1074">
        <f t="shared" si="13"/>
        <v>6.8796753612827457</v>
      </c>
      <c r="AS16" s="1074">
        <f t="shared" si="13"/>
        <v>6.879675395871061</v>
      </c>
      <c r="AT16" s="1074">
        <f t="shared" si="13"/>
        <v>6.8796753243918021</v>
      </c>
      <c r="AU16" s="1074">
        <f t="shared" si="13"/>
        <v>6.8796753605152032</v>
      </c>
      <c r="AV16" s="1074">
        <f t="shared" si="13"/>
        <v>6.8796753602593554</v>
      </c>
      <c r="AW16" s="1074">
        <f t="shared" si="13"/>
        <v>6.8796753483887869</v>
      </c>
      <c r="AX16" s="1074">
        <f t="shared" si="13"/>
        <v>6.8796753563877813</v>
      </c>
      <c r="AY16" s="1074">
        <f t="shared" si="13"/>
        <v>6.8796753550119742</v>
      </c>
      <c r="AZ16" s="1074">
        <f t="shared" si="13"/>
        <v>6.8796753532628472</v>
      </c>
      <c r="BA16" s="1074">
        <f t="shared" si="13"/>
        <v>6.8796753548875342</v>
      </c>
      <c r="BB16" s="1074"/>
      <c r="BC16" s="1074"/>
      <c r="BD16" s="1074"/>
      <c r="BE16" s="1074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</row>
    <row r="17" spans="1:70" s="1" customFormat="1" ht="14" thickBot="1">
      <c r="A17" s="3" t="s">
        <v>30</v>
      </c>
      <c r="B17" s="1074">
        <f t="shared" ref="B17:AG17" si="14">STDEV(B4:B12)</f>
        <v>1.6838873716445837</v>
      </c>
      <c r="C17" s="1074">
        <f t="shared" si="14"/>
        <v>1.7680821645122686</v>
      </c>
      <c r="D17" s="1074">
        <f t="shared" si="14"/>
        <v>1.5198729280506078</v>
      </c>
      <c r="E17" s="1074">
        <f t="shared" si="14"/>
        <v>2.4714591692439609</v>
      </c>
      <c r="F17" s="1074">
        <f t="shared" si="14"/>
        <v>2.016903873407927</v>
      </c>
      <c r="G17" s="1074">
        <f t="shared" si="14"/>
        <v>2.2523992694759523</v>
      </c>
      <c r="H17" s="1074">
        <f t="shared" si="14"/>
        <v>1.8373272993504084</v>
      </c>
      <c r="I17" s="1074">
        <f t="shared" si="14"/>
        <v>1.6718622720757044</v>
      </c>
      <c r="J17" s="1074">
        <f t="shared" si="14"/>
        <v>1.7378038661172055</v>
      </c>
      <c r="K17" s="1074">
        <f t="shared" si="14"/>
        <v>1.4734265333309324</v>
      </c>
      <c r="L17" s="1074">
        <f t="shared" si="14"/>
        <v>2.4171263930543687</v>
      </c>
      <c r="M17" s="1074">
        <f t="shared" si="14"/>
        <v>1.9934234961938133</v>
      </c>
      <c r="N17" s="1074">
        <f t="shared" si="14"/>
        <v>1.5414568781466316</v>
      </c>
      <c r="O17" s="1074">
        <f t="shared" si="14"/>
        <v>1.5696135055889713</v>
      </c>
      <c r="P17" s="1074">
        <f t="shared" si="14"/>
        <v>1.3055437351710746</v>
      </c>
      <c r="Q17" s="1074">
        <f t="shared" si="14"/>
        <v>1.2374157615832264</v>
      </c>
      <c r="R17" s="1074">
        <f t="shared" si="14"/>
        <v>1.235342122686099</v>
      </c>
      <c r="S17" s="1074">
        <f t="shared" si="14"/>
        <v>1.1955312654378476</v>
      </c>
      <c r="T17" s="1074">
        <f t="shared" si="14"/>
        <v>1.2114994710496574</v>
      </c>
      <c r="U17" s="1074">
        <f t="shared" si="14"/>
        <v>1.2096637356674238</v>
      </c>
      <c r="V17" s="1074">
        <f t="shared" si="14"/>
        <v>1.2030735552086691</v>
      </c>
      <c r="W17" s="1074">
        <f t="shared" si="14"/>
        <v>1.2075497740469157</v>
      </c>
      <c r="X17" s="1074">
        <f t="shared" si="14"/>
        <v>1.2066288762174415</v>
      </c>
      <c r="Y17" s="1074">
        <f t="shared" si="14"/>
        <v>1.2056639775207474</v>
      </c>
      <c r="Z17" s="1074">
        <f t="shared" si="14"/>
        <v>1.20658989211754</v>
      </c>
      <c r="AA17" s="1074">
        <f t="shared" si="14"/>
        <v>1.2062898088302245</v>
      </c>
      <c r="AB17" s="1074">
        <f t="shared" si="14"/>
        <v>1.2061784261898203</v>
      </c>
      <c r="AC17" s="1074">
        <f t="shared" si="14"/>
        <v>1.2063516612060394</v>
      </c>
      <c r="AD17" s="1074">
        <f t="shared" si="14"/>
        <v>1.2062731215330342</v>
      </c>
      <c r="AE17" s="1074">
        <f t="shared" si="14"/>
        <v>1.2062676517584265</v>
      </c>
      <c r="AF17" s="1074">
        <f t="shared" si="14"/>
        <v>1.2062974365188186</v>
      </c>
      <c r="AG17" s="1074">
        <f t="shared" si="14"/>
        <v>1.206279395210563</v>
      </c>
      <c r="AH17" s="1074">
        <f t="shared" ref="AH17:BA17" si="15">STDEV(AH4:AH12)</f>
        <v>1.2062814920115359</v>
      </c>
      <c r="AI17" s="1074">
        <f t="shared" si="15"/>
        <v>1.2062861063935553</v>
      </c>
      <c r="AJ17" s="1074">
        <f t="shared" si="15"/>
        <v>1.2062823308298241</v>
      </c>
      <c r="AK17" s="1074">
        <f t="shared" si="15"/>
        <v>1.2062833096675398</v>
      </c>
      <c r="AL17" s="1074">
        <f t="shared" si="15"/>
        <v>1.2062839155793026</v>
      </c>
      <c r="AM17" s="1074">
        <f t="shared" si="15"/>
        <v>1.2062831853421985</v>
      </c>
      <c r="AN17" s="1074">
        <f t="shared" si="15"/>
        <v>1.2062834701935059</v>
      </c>
      <c r="AO17" s="1074">
        <f t="shared" si="15"/>
        <v>1.2062835237034188</v>
      </c>
      <c r="AP17" s="1074">
        <f t="shared" si="15"/>
        <v>1.2062833930790218</v>
      </c>
      <c r="AQ17" s="1074">
        <f t="shared" si="15"/>
        <v>1.2062834623251959</v>
      </c>
      <c r="AR17" s="1074">
        <f t="shared" si="15"/>
        <v>1.2062834597024985</v>
      </c>
      <c r="AS17" s="1074">
        <f t="shared" si="15"/>
        <v>1.2062834383688745</v>
      </c>
      <c r="AT17" s="1074">
        <f t="shared" si="15"/>
        <v>1.20628345346552</v>
      </c>
      <c r="AU17" s="1074">
        <f t="shared" si="15"/>
        <v>1.2062834505122919</v>
      </c>
      <c r="AV17" s="1074">
        <f t="shared" si="15"/>
        <v>1.2062834474489053</v>
      </c>
      <c r="AW17" s="1074">
        <f t="shared" si="15"/>
        <v>1.2062834504755715</v>
      </c>
      <c r="AX17" s="1074">
        <f t="shared" si="15"/>
        <v>1.206283449478919</v>
      </c>
      <c r="AY17" s="1074">
        <f t="shared" si="15"/>
        <v>1.2062834491344632</v>
      </c>
      <c r="AZ17" s="1074">
        <f t="shared" si="15"/>
        <v>1.20628344969632</v>
      </c>
      <c r="BA17" s="1074">
        <f t="shared" si="15"/>
        <v>1.2062834494365704</v>
      </c>
      <c r="BB17" s="1074"/>
      <c r="BC17" s="1074"/>
      <c r="BD17" s="1074"/>
      <c r="BE17" s="1074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</row>
    <row r="18" spans="1:70" s="1" customFormat="1" ht="14" thickBot="1">
      <c r="A18" s="3"/>
      <c r="B18" s="1216" t="str">
        <f>'(intern)'!B19</f>
        <v>&gt;14,0</v>
      </c>
      <c r="C18" s="1217" t="str">
        <f>'(intern)'!C19</f>
        <v>12,5-14,0</v>
      </c>
      <c r="D18" s="1217" t="str">
        <f>'(intern)'!D19</f>
        <v>11,0-12,5</v>
      </c>
      <c r="E18" s="1217" t="str">
        <f>'(intern)'!E19</f>
        <v>9,5-11,0</v>
      </c>
      <c r="F18" s="1217" t="str">
        <f>'(intern)'!F19</f>
        <v>8,0-9,5</v>
      </c>
      <c r="G18" s="1217" t="str">
        <f>'(intern)'!G19</f>
        <v>6,5-8,0</v>
      </c>
      <c r="H18" s="1217" t="str">
        <f>'(intern)'!H19</f>
        <v>5,0-6,5</v>
      </c>
      <c r="I18" s="1217" t="str">
        <f>'(intern)'!I19</f>
        <v>3,5-5,0</v>
      </c>
      <c r="J18" s="1217" t="str">
        <f>'(intern)'!J19</f>
        <v>2,0-3,5</v>
      </c>
      <c r="K18" s="1218" t="str">
        <f>'(intern)'!K19</f>
        <v>&lt; 2,0</v>
      </c>
      <c r="L18" s="240"/>
      <c r="M18" s="240"/>
      <c r="N18" s="240"/>
      <c r="O18" s="1216" t="str">
        <f>'(intern)'!O19</f>
        <v>&gt;14,0</v>
      </c>
      <c r="P18" s="1217" t="str">
        <f>'(intern)'!P19</f>
        <v>12,5-14,0</v>
      </c>
      <c r="Q18" s="1217" t="str">
        <f>'(intern)'!Q19</f>
        <v>11,0-12,5</v>
      </c>
      <c r="R18" s="1217" t="str">
        <f>'(intern)'!R19</f>
        <v>9,5-11,0</v>
      </c>
      <c r="S18" s="1217" t="str">
        <f>'(intern)'!S19</f>
        <v>8,0-9,5</v>
      </c>
      <c r="T18" s="1217" t="str">
        <f>'(intern)'!T19</f>
        <v>6,5-8,0</v>
      </c>
      <c r="U18" s="1217" t="str">
        <f>'(intern)'!U19</f>
        <v>5,0-6,5</v>
      </c>
      <c r="V18" s="1217" t="str">
        <f>'(intern)'!V19</f>
        <v>3,5-5,0</v>
      </c>
      <c r="W18" s="1217" t="str">
        <f>'(intern)'!W19</f>
        <v>2,0-3,5</v>
      </c>
      <c r="X18" s="1218" t="str">
        <f>'(intern)'!X19</f>
        <v>&lt; 2,0</v>
      </c>
      <c r="Y18" s="239"/>
      <c r="Z18" s="240"/>
      <c r="AA18" s="240"/>
      <c r="AB18" s="1216" t="str">
        <f>'(intern)'!AB19</f>
        <v>&gt;14,0</v>
      </c>
      <c r="AC18" s="1217" t="str">
        <f>'(intern)'!AC19</f>
        <v>12,5-14,0</v>
      </c>
      <c r="AD18" s="1217" t="str">
        <f>'(intern)'!AD19</f>
        <v>11,0-12,5</v>
      </c>
      <c r="AE18" s="1217" t="str">
        <f>'(intern)'!AE19</f>
        <v>9,5-11,0</v>
      </c>
      <c r="AF18" s="1217" t="str">
        <f>'(intern)'!AF19</f>
        <v>8,0-9,5</v>
      </c>
      <c r="AG18" s="1217" t="str">
        <f>'(intern)'!AG19</f>
        <v>6,5-8,0</v>
      </c>
      <c r="AH18" s="1217" t="str">
        <f>'(intern)'!AH19</f>
        <v>5,0-6,5</v>
      </c>
      <c r="AI18" s="1217" t="str">
        <f>'(intern)'!AI19</f>
        <v>3,5-5,0</v>
      </c>
      <c r="AJ18" s="1217" t="str">
        <f>'(intern)'!AJ19</f>
        <v>2,0-3,5</v>
      </c>
      <c r="AK18" s="1218" t="str">
        <f>'(intern)'!AK19</f>
        <v>&lt; 2,0</v>
      </c>
      <c r="AL18" s="239"/>
      <c r="AM18" s="240"/>
      <c r="AN18" s="240"/>
      <c r="AO18" s="1216" t="str">
        <f>'(intern)'!AO19</f>
        <v>&gt;14,0</v>
      </c>
      <c r="AP18" s="1217" t="str">
        <f>'(intern)'!AP19</f>
        <v>12,5-14,0</v>
      </c>
      <c r="AQ18" s="1217" t="str">
        <f>'(intern)'!AQ19</f>
        <v>11,0-12,5</v>
      </c>
      <c r="AR18" s="1217" t="str">
        <f>'(intern)'!AR19</f>
        <v>9,5-11,0</v>
      </c>
      <c r="AS18" s="1217" t="str">
        <f>'(intern)'!AS19</f>
        <v>8,0-9,5</v>
      </c>
      <c r="AT18" s="1217" t="str">
        <f>'(intern)'!AT19</f>
        <v>6,5-8,0</v>
      </c>
      <c r="AU18" s="1217" t="str">
        <f>'(intern)'!AU19</f>
        <v>5,0-6,5</v>
      </c>
      <c r="AV18" s="1217" t="str">
        <f>'(intern)'!AV19</f>
        <v>3,5-5,0</v>
      </c>
      <c r="AW18" s="1217" t="str">
        <f>'(intern)'!AW19</f>
        <v>2,0-3,5</v>
      </c>
      <c r="AX18" s="1218" t="str">
        <f>'(intern)'!AX19</f>
        <v>&lt; 2,0</v>
      </c>
      <c r="BF18" s="404"/>
      <c r="BG18" s="405"/>
      <c r="BH18" s="405"/>
      <c r="BI18" s="405"/>
      <c r="BJ18" s="405"/>
      <c r="BK18" s="405"/>
      <c r="BL18" s="405"/>
      <c r="BM18" s="405"/>
      <c r="BN18" s="405"/>
      <c r="BO18" s="405"/>
      <c r="BP18" s="35"/>
      <c r="BQ18" s="35"/>
      <c r="BR18" s="35"/>
    </row>
    <row r="19" spans="1:70" ht="14" thickBot="1">
      <c r="A19" s="3"/>
      <c r="B19" s="1182">
        <f>'(intern)'!B20</f>
        <v>0</v>
      </c>
      <c r="C19" s="1219">
        <f>'(intern)'!C20</f>
        <v>0</v>
      </c>
      <c r="D19" s="1219">
        <f>'(intern)'!D20</f>
        <v>3</v>
      </c>
      <c r="E19" s="1219">
        <f>'(intern)'!E20</f>
        <v>18</v>
      </c>
      <c r="F19" s="1219">
        <f>'(intern)'!F20</f>
        <v>19</v>
      </c>
      <c r="G19" s="1219">
        <f>'(intern)'!G20</f>
        <v>21</v>
      </c>
      <c r="H19" s="1219">
        <f>'(intern)'!H20</f>
        <v>50</v>
      </c>
      <c r="I19" s="1219">
        <f>'(intern)'!I20</f>
        <v>6</v>
      </c>
      <c r="J19" s="1219">
        <f>'(intern)'!J20</f>
        <v>0</v>
      </c>
      <c r="K19" s="1220">
        <f>'(intern)'!K20</f>
        <v>0</v>
      </c>
      <c r="L19" s="1215"/>
      <c r="M19" s="240"/>
      <c r="N19" s="240"/>
      <c r="O19" s="1182">
        <f>'(intern)'!O20</f>
        <v>0</v>
      </c>
      <c r="P19" s="1219">
        <f>'(intern)'!P20</f>
        <v>0</v>
      </c>
      <c r="Q19" s="1219">
        <f>'(intern)'!Q20</f>
        <v>0</v>
      </c>
      <c r="R19" s="1219">
        <f>'(intern)'!R20</f>
        <v>12</v>
      </c>
      <c r="S19" s="1219">
        <f>'(intern)'!S20</f>
        <v>3</v>
      </c>
      <c r="T19" s="1219">
        <f>'(intern)'!T20</f>
        <v>47</v>
      </c>
      <c r="U19" s="1219">
        <f>'(intern)'!U20</f>
        <v>55</v>
      </c>
      <c r="V19" s="1219">
        <f>'(intern)'!V20</f>
        <v>0</v>
      </c>
      <c r="W19" s="1219">
        <f>'(intern)'!W20</f>
        <v>0</v>
      </c>
      <c r="X19" s="1220">
        <f>'(intern)'!X20</f>
        <v>0</v>
      </c>
      <c r="Y19" s="241"/>
      <c r="Z19" s="240"/>
      <c r="AA19" s="240"/>
      <c r="AB19" s="1182">
        <f>'(intern)'!AB20</f>
        <v>0</v>
      </c>
      <c r="AC19" s="1219">
        <f>'(intern)'!AC20</f>
        <v>0</v>
      </c>
      <c r="AD19" s="1219">
        <f>'(intern)'!AD20</f>
        <v>0</v>
      </c>
      <c r="AE19" s="1219">
        <f>'(intern)'!AE20</f>
        <v>13</v>
      </c>
      <c r="AF19" s="1219">
        <f>'(intern)'!AF20</f>
        <v>0</v>
      </c>
      <c r="AG19" s="1219">
        <f>'(intern)'!AG20</f>
        <v>52</v>
      </c>
      <c r="AH19" s="1219">
        <f>'(intern)'!AH20</f>
        <v>52</v>
      </c>
      <c r="AI19" s="1219">
        <f>'(intern)'!AI20</f>
        <v>0</v>
      </c>
      <c r="AJ19" s="1219">
        <f>'(intern)'!AJ20</f>
        <v>0</v>
      </c>
      <c r="AK19" s="1220">
        <f>'(intern)'!AK20</f>
        <v>0</v>
      </c>
      <c r="AL19" s="241"/>
      <c r="AM19" s="240"/>
      <c r="AN19" s="240"/>
      <c r="AO19" s="1182">
        <f>'(intern)'!AO20</f>
        <v>0</v>
      </c>
      <c r="AP19" s="1219">
        <f>'(intern)'!AP20</f>
        <v>0</v>
      </c>
      <c r="AQ19" s="1219">
        <f>'(intern)'!AQ20</f>
        <v>0</v>
      </c>
      <c r="AR19" s="1219">
        <f>'(intern)'!AR20</f>
        <v>13</v>
      </c>
      <c r="AS19" s="1219">
        <f>'(intern)'!AS20</f>
        <v>0</v>
      </c>
      <c r="AT19" s="1219">
        <f>'(intern)'!AT20</f>
        <v>52</v>
      </c>
      <c r="AU19" s="1219">
        <f>'(intern)'!AU20</f>
        <v>52</v>
      </c>
      <c r="AV19" s="1219">
        <f>'(intern)'!AV20</f>
        <v>0</v>
      </c>
      <c r="AW19" s="1219">
        <f>'(intern)'!AW20</f>
        <v>0</v>
      </c>
      <c r="AX19" s="1220">
        <f>'(intern)'!AX20</f>
        <v>0</v>
      </c>
      <c r="AY19" s="35"/>
      <c r="AZ19" s="35"/>
      <c r="BA19" s="35"/>
      <c r="BB19" s="35"/>
      <c r="BC19" s="35"/>
      <c r="BD19" s="35"/>
      <c r="BE19" s="35"/>
      <c r="BF19" s="68"/>
      <c r="BG19" s="405"/>
      <c r="BH19" s="405"/>
      <c r="BI19" s="405"/>
      <c r="BJ19" s="405"/>
      <c r="BK19" s="405"/>
      <c r="BL19" s="405"/>
      <c r="BM19" s="405"/>
      <c r="BN19" s="405"/>
      <c r="BO19" s="405"/>
      <c r="BP19" s="34"/>
      <c r="BQ19" s="34"/>
      <c r="BR19" s="34"/>
    </row>
    <row r="20" spans="1:70">
      <c r="A20" s="204" t="s">
        <v>8</v>
      </c>
      <c r="B20" s="205">
        <f>'IN (mmol|L)'!E13</f>
        <v>41274</v>
      </c>
      <c r="C20" s="205">
        <f>'IN (mmol|L)'!F13</f>
        <v>41281</v>
      </c>
      <c r="D20" s="205">
        <f>'IN (mmol|L)'!G13</f>
        <v>41288</v>
      </c>
      <c r="E20" s="205">
        <f>'IN (mmol|L)'!H13</f>
        <v>41295</v>
      </c>
      <c r="F20" s="205">
        <f>'IN (mmol|L)'!I13</f>
        <v>41302</v>
      </c>
      <c r="G20" s="205">
        <f>'IN (mmol|L)'!J13</f>
        <v>41309</v>
      </c>
      <c r="H20" s="205">
        <f>'IN (mmol|L)'!K13</f>
        <v>41316</v>
      </c>
      <c r="I20" s="205">
        <f>'IN (mmol|L)'!L13</f>
        <v>41323</v>
      </c>
      <c r="J20" s="205">
        <f>'IN (mmol|L)'!M13</f>
        <v>41330</v>
      </c>
      <c r="K20" s="205">
        <f>'IN (mmol|L)'!N13</f>
        <v>41337</v>
      </c>
      <c r="L20" s="205">
        <f>'IN (mmol|L)'!O13</f>
        <v>41344</v>
      </c>
      <c r="M20" s="205">
        <f>'IN (mmol|L)'!P13</f>
        <v>41351</v>
      </c>
      <c r="N20" s="205">
        <f>'IN (mmol|L)'!Q13</f>
        <v>41358</v>
      </c>
      <c r="O20" s="246">
        <f>'IN (mmol|L)'!E36</f>
        <v>41365</v>
      </c>
      <c r="P20" s="205">
        <f>'IN (mmol|L)'!F36</f>
        <v>41372</v>
      </c>
      <c r="Q20" s="205">
        <f>'IN (mmol|L)'!G36</f>
        <v>41379</v>
      </c>
      <c r="R20" s="205">
        <f>'IN (mmol|L)'!H36</f>
        <v>41386</v>
      </c>
      <c r="S20" s="205">
        <f>'IN (mmol|L)'!I36</f>
        <v>41393</v>
      </c>
      <c r="T20" s="205">
        <f>'IN (mmol|L)'!J36</f>
        <v>41400</v>
      </c>
      <c r="U20" s="205">
        <f>'IN (mmol|L)'!K36</f>
        <v>41407</v>
      </c>
      <c r="V20" s="205">
        <f>'IN (mmol|L)'!L36</f>
        <v>41414</v>
      </c>
      <c r="W20" s="205">
        <f>'IN (mmol|L)'!M36</f>
        <v>41421</v>
      </c>
      <c r="X20" s="205">
        <f>'IN (mmol|L)'!N36</f>
        <v>41428</v>
      </c>
      <c r="Y20" s="205">
        <f>'IN (mmol|L)'!O36</f>
        <v>41435</v>
      </c>
      <c r="Z20" s="205">
        <f>'IN (mmol|L)'!P36</f>
        <v>41442</v>
      </c>
      <c r="AA20" s="205">
        <f>'IN (mmol|L)'!Q36</f>
        <v>41449</v>
      </c>
      <c r="AB20" s="246">
        <f>'IN (mmol|L)'!E59</f>
        <v>41456</v>
      </c>
      <c r="AC20" s="205">
        <f>'IN (mmol|L)'!F59</f>
        <v>41463</v>
      </c>
      <c r="AD20" s="205">
        <f>'IN (mmol|L)'!G59</f>
        <v>41470</v>
      </c>
      <c r="AE20" s="205">
        <f>'IN (mmol|L)'!H59</f>
        <v>41477</v>
      </c>
      <c r="AF20" s="205">
        <f>'IN (mmol|L)'!I59</f>
        <v>41484</v>
      </c>
      <c r="AG20" s="205">
        <f>'IN (mmol|L)'!J59</f>
        <v>41491</v>
      </c>
      <c r="AH20" s="205">
        <f>'IN (mmol|L)'!K59</f>
        <v>41498</v>
      </c>
      <c r="AI20" s="205">
        <f>'IN (mmol|L)'!L59</f>
        <v>41505</v>
      </c>
      <c r="AJ20" s="205">
        <f>'IN (mmol|L)'!M59</f>
        <v>41512</v>
      </c>
      <c r="AK20" s="205">
        <f>'IN (mmol|L)'!N59</f>
        <v>41519</v>
      </c>
      <c r="AL20" s="205">
        <f>'IN (mmol|L)'!O59</f>
        <v>41526</v>
      </c>
      <c r="AM20" s="205">
        <f>'IN (mmol|L)'!P59</f>
        <v>41533</v>
      </c>
      <c r="AN20" s="205">
        <f>'IN (mmol|L)'!Q59</f>
        <v>41540</v>
      </c>
      <c r="AO20" s="246">
        <f>'IN (mmol|L)'!E82</f>
        <v>41547</v>
      </c>
      <c r="AP20" s="205">
        <f>'IN (mmol|L)'!F82</f>
        <v>41554</v>
      </c>
      <c r="AQ20" s="205">
        <f>'IN (mmol|L)'!G82</f>
        <v>41561</v>
      </c>
      <c r="AR20" s="205">
        <f>'IN (mmol|L)'!H82</f>
        <v>41568</v>
      </c>
      <c r="AS20" s="205">
        <f>'IN (mmol|L)'!I82</f>
        <v>41575</v>
      </c>
      <c r="AT20" s="205">
        <f>'IN (mmol|L)'!J82</f>
        <v>41582</v>
      </c>
      <c r="AU20" s="205">
        <f>'IN (mmol|L)'!K82</f>
        <v>41589</v>
      </c>
      <c r="AV20" s="205">
        <f>'IN (mmol|L)'!L82</f>
        <v>41596</v>
      </c>
      <c r="AW20" s="205">
        <f>'IN (mmol|L)'!P82</f>
        <v>41624</v>
      </c>
      <c r="AX20" s="205">
        <f>'IN (mmol|L)'!Q82</f>
        <v>41631</v>
      </c>
      <c r="AY20" s="410"/>
      <c r="AZ20" s="410"/>
      <c r="BA20" s="410"/>
      <c r="BB20" s="410"/>
      <c r="BC20" s="410"/>
      <c r="BD20" s="410"/>
      <c r="BE20" s="410"/>
      <c r="BF20" s="406"/>
      <c r="BG20" s="406"/>
      <c r="BH20" s="406"/>
      <c r="BI20" s="406"/>
      <c r="BJ20" s="406"/>
      <c r="BK20" s="406"/>
      <c r="BL20" s="406"/>
      <c r="BM20" s="406"/>
      <c r="BN20" s="406"/>
      <c r="BO20" s="406"/>
      <c r="BP20" s="406"/>
      <c r="BQ20" s="406"/>
      <c r="BR20" s="406"/>
    </row>
    <row r="21" spans="1:70">
      <c r="A21" s="129" t="s">
        <v>56</v>
      </c>
      <c r="B21" s="130">
        <f t="shared" ref="B21:AG21" si="16">IF(WEEKDAY(B20)+$I26=0,7,IF(WEEKDAY(B20)+$I26=8,1,WEEKDAY(B20)+$I26))</f>
        <v>1</v>
      </c>
      <c r="C21" s="130">
        <f t="shared" si="16"/>
        <v>1</v>
      </c>
      <c r="D21" s="130">
        <f t="shared" si="16"/>
        <v>1</v>
      </c>
      <c r="E21" s="130">
        <f t="shared" si="16"/>
        <v>1</v>
      </c>
      <c r="F21" s="130">
        <f t="shared" si="16"/>
        <v>1</v>
      </c>
      <c r="G21" s="130">
        <f t="shared" si="16"/>
        <v>1</v>
      </c>
      <c r="H21" s="130">
        <f t="shared" si="16"/>
        <v>1</v>
      </c>
      <c r="I21" s="130">
        <f t="shared" si="16"/>
        <v>1</v>
      </c>
      <c r="J21" s="130">
        <f t="shared" si="16"/>
        <v>1</v>
      </c>
      <c r="K21" s="245">
        <f t="shared" si="16"/>
        <v>1</v>
      </c>
      <c r="L21" s="245">
        <f t="shared" si="16"/>
        <v>1</v>
      </c>
      <c r="M21" s="245">
        <f t="shared" si="16"/>
        <v>1</v>
      </c>
      <c r="N21" s="245">
        <f t="shared" si="16"/>
        <v>1</v>
      </c>
      <c r="O21" s="247">
        <f t="shared" si="16"/>
        <v>1</v>
      </c>
      <c r="P21" s="130">
        <f t="shared" si="16"/>
        <v>1</v>
      </c>
      <c r="Q21" s="130">
        <f t="shared" si="16"/>
        <v>1</v>
      </c>
      <c r="R21" s="130">
        <f t="shared" si="16"/>
        <v>1</v>
      </c>
      <c r="S21" s="130">
        <f t="shared" si="16"/>
        <v>1</v>
      </c>
      <c r="T21" s="130">
        <f t="shared" si="16"/>
        <v>1</v>
      </c>
      <c r="U21" s="130">
        <f t="shared" si="16"/>
        <v>1</v>
      </c>
      <c r="V21" s="130">
        <f t="shared" si="16"/>
        <v>1</v>
      </c>
      <c r="W21" s="130">
        <f t="shared" si="16"/>
        <v>1</v>
      </c>
      <c r="X21" s="130">
        <f t="shared" si="16"/>
        <v>1</v>
      </c>
      <c r="Y21" s="130">
        <f t="shared" si="16"/>
        <v>1</v>
      </c>
      <c r="Z21" s="130">
        <f t="shared" si="16"/>
        <v>1</v>
      </c>
      <c r="AA21" s="130">
        <f t="shared" si="16"/>
        <v>1</v>
      </c>
      <c r="AB21" s="247">
        <f t="shared" si="16"/>
        <v>1</v>
      </c>
      <c r="AC21" s="130">
        <f t="shared" si="16"/>
        <v>1</v>
      </c>
      <c r="AD21" s="130">
        <f t="shared" si="16"/>
        <v>1</v>
      </c>
      <c r="AE21" s="130">
        <f t="shared" si="16"/>
        <v>1</v>
      </c>
      <c r="AF21" s="130">
        <f t="shared" si="16"/>
        <v>1</v>
      </c>
      <c r="AG21" s="130">
        <f t="shared" si="16"/>
        <v>1</v>
      </c>
      <c r="AH21" s="130">
        <f t="shared" ref="AH21:AX21" si="17">IF(WEEKDAY(AH20)+$I26=0,7,IF(WEEKDAY(AH20)+$I26=8,1,WEEKDAY(AH20)+$I26))</f>
        <v>1</v>
      </c>
      <c r="AI21" s="130">
        <f t="shared" si="17"/>
        <v>1</v>
      </c>
      <c r="AJ21" s="130">
        <f t="shared" si="17"/>
        <v>1</v>
      </c>
      <c r="AK21" s="130">
        <f t="shared" si="17"/>
        <v>1</v>
      </c>
      <c r="AL21" s="130">
        <f t="shared" si="17"/>
        <v>1</v>
      </c>
      <c r="AM21" s="130">
        <f t="shared" si="17"/>
        <v>1</v>
      </c>
      <c r="AN21" s="130">
        <f t="shared" si="17"/>
        <v>1</v>
      </c>
      <c r="AO21" s="247">
        <f t="shared" si="17"/>
        <v>1</v>
      </c>
      <c r="AP21" s="130">
        <f t="shared" si="17"/>
        <v>1</v>
      </c>
      <c r="AQ21" s="130">
        <f t="shared" si="17"/>
        <v>1</v>
      </c>
      <c r="AR21" s="130">
        <f t="shared" si="17"/>
        <v>1</v>
      </c>
      <c r="AS21" s="130">
        <f t="shared" si="17"/>
        <v>1</v>
      </c>
      <c r="AT21" s="130">
        <f t="shared" si="17"/>
        <v>1</v>
      </c>
      <c r="AU21" s="130">
        <f t="shared" si="17"/>
        <v>1</v>
      </c>
      <c r="AV21" s="130">
        <f t="shared" si="17"/>
        <v>1</v>
      </c>
      <c r="AW21" s="130">
        <f t="shared" si="17"/>
        <v>1</v>
      </c>
      <c r="AX21" s="130">
        <f t="shared" si="17"/>
        <v>1</v>
      </c>
      <c r="AY21" s="407"/>
      <c r="AZ21" s="407"/>
      <c r="BA21" s="407"/>
      <c r="BB21" s="407"/>
      <c r="BC21" s="407"/>
      <c r="BD21" s="407"/>
      <c r="BE21" s="407"/>
      <c r="BF21" s="407"/>
      <c r="BG21" s="407"/>
      <c r="BH21" s="407"/>
      <c r="BI21" s="407"/>
      <c r="BJ21" s="407"/>
      <c r="BK21" s="407"/>
      <c r="BL21" s="407"/>
      <c r="BM21" s="407"/>
      <c r="BN21" s="407"/>
      <c r="BO21" s="407"/>
      <c r="BP21" s="407"/>
      <c r="BQ21" s="407"/>
      <c r="BR21" s="407"/>
    </row>
    <row r="22" spans="1:70" ht="14" thickBot="1">
      <c r="B22" s="14"/>
      <c r="C22" s="15" t="str">
        <f>CONCATENATE("+",'IN (mmol|L)'!V3,"s")</f>
        <v>+1,645s</v>
      </c>
      <c r="D22" s="15" t="str">
        <f>CONCATENATE("- ",'IN (mmol|L)'!V3,"s")</f>
        <v>- 1,645s</v>
      </c>
      <c r="E22" s="15" t="s">
        <v>51</v>
      </c>
      <c r="F22" s="15" t="s">
        <v>34</v>
      </c>
      <c r="G22" s="1"/>
      <c r="H22" s="1"/>
      <c r="I22" s="1"/>
      <c r="J22" s="1"/>
      <c r="L22" s="242"/>
      <c r="M22" s="243"/>
      <c r="N22" s="243"/>
      <c r="O22" s="20"/>
      <c r="P22" s="21" t="str">
        <f>CONCATENATE("+",'IN (mmol|L)'!V26,"s")</f>
        <v>+1,645s</v>
      </c>
      <c r="Q22" s="21" t="str">
        <f>CONCATENATE("- ",'IN (mmol|L)'!V26,"s")</f>
        <v>- 1,645s</v>
      </c>
      <c r="R22" s="21" t="s">
        <v>51</v>
      </c>
      <c r="S22" s="21" t="s">
        <v>34</v>
      </c>
      <c r="T22" s="1"/>
      <c r="U22" s="1"/>
      <c r="V22" s="1"/>
      <c r="W22" s="1"/>
      <c r="Y22" s="1"/>
      <c r="Z22" s="1"/>
      <c r="AB22" s="17"/>
      <c r="AC22" s="18" t="str">
        <f>CONCATENATE("+",'IN (mmol|L)'!V49,"s")</f>
        <v>+1s</v>
      </c>
      <c r="AD22" s="18" t="str">
        <f>CONCATENATE("- ",'IN (mmol|L)'!V49,"s")</f>
        <v>- 1s</v>
      </c>
      <c r="AE22" s="18" t="s">
        <v>51</v>
      </c>
      <c r="AF22" s="18" t="s">
        <v>34</v>
      </c>
      <c r="AG22" s="1"/>
      <c r="AH22" s="1"/>
      <c r="AI22" s="1"/>
      <c r="AJ22" s="1"/>
      <c r="AK22" s="1"/>
      <c r="AL22" s="1"/>
      <c r="AM22" s="1"/>
      <c r="AN22" s="1"/>
      <c r="AO22" s="11"/>
      <c r="AP22" s="12" t="str">
        <f>CONCATENATE("+",'IN (mmol|L)'!V72,"s")</f>
        <v>+1s</v>
      </c>
      <c r="AQ22" s="12" t="str">
        <f>CONCATENATE("- ",'IN (mmol|L)'!V72,"s")</f>
        <v>- 1s</v>
      </c>
      <c r="AR22" s="12" t="s">
        <v>51</v>
      </c>
      <c r="AS22" s="12" t="s">
        <v>34</v>
      </c>
      <c r="AT22" s="1"/>
      <c r="AU22" s="1"/>
      <c r="AV22" s="1"/>
      <c r="AW22" s="1"/>
      <c r="AX22" s="1"/>
      <c r="AY22" s="35"/>
      <c r="AZ22" s="35"/>
      <c r="BA22" s="35"/>
      <c r="BB22" s="35"/>
      <c r="BC22" s="35"/>
      <c r="BD22" s="35"/>
      <c r="BE22" s="35"/>
      <c r="BF22" s="47"/>
      <c r="BG22" s="35"/>
      <c r="BH22" s="35"/>
      <c r="BI22" s="35"/>
      <c r="BJ22" s="35"/>
      <c r="BK22" s="34"/>
      <c r="BL22" s="34"/>
      <c r="BM22" s="34"/>
      <c r="BN22" s="34"/>
      <c r="BO22" s="34"/>
      <c r="BP22" s="34"/>
      <c r="BQ22" s="34"/>
      <c r="BR22" s="34"/>
    </row>
    <row r="23" spans="1:70">
      <c r="B23" s="14">
        <f t="shared" ref="B23:B31" si="18">$A4</f>
        <v>0.29166666666666669</v>
      </c>
      <c r="C23" s="16">
        <f>E23+'IN (mmol|L)'!$V$3*F23</f>
        <v>6.2978141617976009</v>
      </c>
      <c r="D23" s="16">
        <f>E23-'IN (mmol|L)'!$V$3*F23</f>
        <v>5.9637242997408615</v>
      </c>
      <c r="E23" s="16">
        <f>AVERAGE(B4:N4)</f>
        <v>6.1307692307692312</v>
      </c>
      <c r="F23" s="16">
        <f t="shared" ref="F23:F31" si="19">STDEV(B4:N4)</f>
        <v>0.10154707053396356</v>
      </c>
      <c r="G23" s="5"/>
      <c r="H23" s="123"/>
      <c r="I23" s="124"/>
      <c r="J23" s="125"/>
      <c r="L23" s="242"/>
      <c r="M23" s="244"/>
      <c r="N23" s="244"/>
      <c r="O23" s="20">
        <f t="shared" ref="O23:O31" si="20">$A4</f>
        <v>0.29166666666666669</v>
      </c>
      <c r="P23" s="22">
        <f>R23+'IN (mmol|L)'!$V$26*S23</f>
        <v>6.1584889875528468</v>
      </c>
      <c r="Q23" s="22">
        <f>R23-'IN (mmol|L)'!$V$26*S23</f>
        <v>5.949206186077399</v>
      </c>
      <c r="R23" s="22">
        <f t="shared" ref="R23:R31" si="21">AVERAGE(O4:AA4)</f>
        <v>6.0538475868151229</v>
      </c>
      <c r="S23" s="22">
        <f t="shared" ref="S23:S31" si="22">STDEV(O4:AA4)</f>
        <v>6.3611793761534474E-2</v>
      </c>
      <c r="T23" s="5"/>
      <c r="U23" s="5"/>
      <c r="V23" s="5"/>
      <c r="W23" s="5"/>
      <c r="Y23" s="5"/>
      <c r="Z23" s="5"/>
      <c r="AB23" s="17">
        <f t="shared" ref="AB23:AB31" si="23">$A4</f>
        <v>0.29166666666666669</v>
      </c>
      <c r="AC23" s="19">
        <f>AE23+'IN (mmol|L)'!$V$49*AF23</f>
        <v>6.0500444753314682</v>
      </c>
      <c r="AD23" s="19">
        <f>AE23-'IN (mmol|L)'!$V$49*AF23</f>
        <v>6.049952659065033</v>
      </c>
      <c r="AE23" s="19">
        <f t="shared" ref="AE23:AE31" si="24">AVERAGE(AB4:AN4)</f>
        <v>6.0499985671982506</v>
      </c>
      <c r="AF23" s="19">
        <f t="shared" ref="AF23:AF31" si="25">STDEV(AB4:AN4)</f>
        <v>4.590813321719309E-5</v>
      </c>
      <c r="AG23" s="5"/>
      <c r="AH23" s="5"/>
      <c r="AI23" s="5"/>
      <c r="AJ23" s="5"/>
      <c r="AK23" s="5"/>
      <c r="AL23" s="5"/>
      <c r="AM23" s="5"/>
      <c r="AN23" s="5"/>
      <c r="AO23" s="11">
        <f t="shared" ref="AO23:AO31" si="26">$A4</f>
        <v>0.29166666666666669</v>
      </c>
      <c r="AP23" s="13">
        <f>AR23+'IN (mmol|L)'!$V$72*AS23</f>
        <v>6.0500000326541539</v>
      </c>
      <c r="AQ23" s="13">
        <f>AR23-'IN (mmol|L)'!$V$72*AS23</f>
        <v>6.0499999670090965</v>
      </c>
      <c r="AR23" s="13">
        <f t="shared" ref="AR23:AR31" si="27">AVERAGE(AO4:BA4)</f>
        <v>6.0499999998316252</v>
      </c>
      <c r="AS23" s="13">
        <f t="shared" ref="AS23:AS31" si="28">STDEV(AO4:BA4)</f>
        <v>3.2822528632335378E-8</v>
      </c>
      <c r="AT23" s="5"/>
      <c r="AU23" s="5"/>
      <c r="AV23" s="5"/>
      <c r="AW23" s="5"/>
      <c r="AX23" s="5"/>
      <c r="AY23" s="69"/>
      <c r="AZ23" s="69"/>
      <c r="BA23" s="35"/>
      <c r="BB23" s="35"/>
      <c r="BC23" s="69"/>
      <c r="BD23" s="35"/>
      <c r="BE23" s="35"/>
      <c r="BF23" s="47"/>
      <c r="BG23" s="69"/>
      <c r="BH23" s="69"/>
      <c r="BI23" s="69"/>
      <c r="BJ23" s="66"/>
      <c r="BK23" s="34"/>
      <c r="BL23" s="34"/>
      <c r="BM23" s="34"/>
      <c r="BN23" s="34"/>
      <c r="BO23" s="34"/>
      <c r="BP23" s="34"/>
      <c r="BQ23" s="34"/>
      <c r="BR23" s="34"/>
    </row>
    <row r="24" spans="1:70">
      <c r="B24" s="14">
        <f t="shared" si="18"/>
        <v>0.39583333333333331</v>
      </c>
      <c r="C24" s="16">
        <f>E24+'IN (mmol|L)'!$V$3*F24</f>
        <v>11.568473469259178</v>
      </c>
      <c r="D24" s="16">
        <f>E24-'IN (mmol|L)'!$V$3*F24</f>
        <v>8.0189909182052084</v>
      </c>
      <c r="E24" s="16">
        <f t="shared" ref="E24:E31" si="29">AVERAGE(B5:N5)</f>
        <v>9.7937321937321933</v>
      </c>
      <c r="F24" s="16">
        <f t="shared" si="19"/>
        <v>1.0788700763081971</v>
      </c>
      <c r="G24" s="5"/>
      <c r="H24" s="207"/>
      <c r="I24" s="208" t="s">
        <v>54</v>
      </c>
      <c r="J24" s="209"/>
      <c r="L24" s="242"/>
      <c r="M24" s="244"/>
      <c r="N24" s="244"/>
      <c r="O24" s="20">
        <f t="shared" si="20"/>
        <v>0.39583333333333331</v>
      </c>
      <c r="P24" s="22">
        <f>R24+'IN (mmol|L)'!$V$26*S24</f>
        <v>9.95208873308321</v>
      </c>
      <c r="Q24" s="22">
        <f>R24-'IN (mmol|L)'!$V$26*S24</f>
        <v>9.4405277712743878</v>
      </c>
      <c r="R24" s="22">
        <f t="shared" si="21"/>
        <v>9.6963082521787989</v>
      </c>
      <c r="S24" s="22">
        <f t="shared" si="22"/>
        <v>0.15548965404523485</v>
      </c>
      <c r="T24" s="5"/>
      <c r="U24" s="5"/>
      <c r="V24" s="5"/>
      <c r="W24" s="5"/>
      <c r="Y24" s="5"/>
      <c r="Z24" s="5"/>
      <c r="AB24" s="17">
        <f t="shared" si="23"/>
        <v>0.39583333333333331</v>
      </c>
      <c r="AC24" s="19">
        <f>AE24+'IN (mmol|L)'!$V$49*AF24</f>
        <v>9.6778830981091541</v>
      </c>
      <c r="AD24" s="19">
        <f>AE24-'IN (mmol|L)'!$V$49*AF24</f>
        <v>9.6776485314467902</v>
      </c>
      <c r="AE24" s="19">
        <f t="shared" si="24"/>
        <v>9.6777658147779722</v>
      </c>
      <c r="AF24" s="19">
        <f t="shared" si="25"/>
        <v>1.1728333118225707E-4</v>
      </c>
      <c r="AG24" s="5"/>
      <c r="AH24" s="5"/>
      <c r="AI24" s="5"/>
      <c r="AJ24" s="5"/>
      <c r="AK24" s="5"/>
      <c r="AL24" s="5"/>
      <c r="AM24" s="5"/>
      <c r="AN24" s="5"/>
      <c r="AO24" s="11">
        <f t="shared" si="26"/>
        <v>0.39583333333333331</v>
      </c>
      <c r="AP24" s="13">
        <f>AR24+'IN (mmol|L)'!$V$72*AS24</f>
        <v>9.6777778719407319</v>
      </c>
      <c r="AQ24" s="13">
        <f>AR24-'IN (mmol|L)'!$V$72*AS24</f>
        <v>9.6777776978567314</v>
      </c>
      <c r="AR24" s="13">
        <f t="shared" si="27"/>
        <v>9.6777777848987316</v>
      </c>
      <c r="AS24" s="13">
        <f t="shared" si="28"/>
        <v>8.7041999481035532E-8</v>
      </c>
      <c r="AT24" s="5"/>
      <c r="AU24" s="5"/>
      <c r="AV24" s="5"/>
      <c r="AW24" s="5"/>
      <c r="AX24" s="5"/>
      <c r="AY24" s="69"/>
      <c r="AZ24" s="69"/>
      <c r="BA24" s="35"/>
      <c r="BB24" s="35"/>
      <c r="BC24" s="69"/>
      <c r="BD24" s="35"/>
      <c r="BE24" s="35"/>
      <c r="BF24" s="47"/>
      <c r="BG24" s="69"/>
      <c r="BH24" s="69"/>
      <c r="BI24" s="69"/>
      <c r="BJ24" s="66"/>
      <c r="BK24" s="34"/>
      <c r="BL24" s="34"/>
      <c r="BM24" s="34"/>
      <c r="BN24" s="34"/>
      <c r="BO24" s="34"/>
      <c r="BP24" s="34"/>
      <c r="BQ24" s="34"/>
      <c r="BR24" s="34"/>
    </row>
    <row r="25" spans="1:70" ht="14" thickBot="1">
      <c r="B25" s="14">
        <f t="shared" si="18"/>
        <v>0.5</v>
      </c>
      <c r="C25" s="16">
        <f>E25+'IN (mmol|L)'!$V$3*F25</f>
        <v>10.025345901641259</v>
      </c>
      <c r="D25" s="16">
        <f>E25-'IN (mmol|L)'!$V$3*F25</f>
        <v>4.6618335855382291</v>
      </c>
      <c r="E25" s="16">
        <f t="shared" si="29"/>
        <v>7.3435897435897441</v>
      </c>
      <c r="F25" s="16">
        <f t="shared" si="19"/>
        <v>1.630246904590587</v>
      </c>
      <c r="G25" s="5"/>
      <c r="H25" s="207"/>
      <c r="I25" s="208" t="s">
        <v>55</v>
      </c>
      <c r="J25" s="209"/>
      <c r="L25" s="242"/>
      <c r="M25" s="244"/>
      <c r="N25" s="244"/>
      <c r="O25" s="20">
        <f t="shared" si="20"/>
        <v>0.5</v>
      </c>
      <c r="P25" s="22">
        <f>R25+'IN (mmol|L)'!$V$26*S25</f>
        <v>7.5033901188176362</v>
      </c>
      <c r="Q25" s="22">
        <f>R25-'IN (mmol|L)'!$V$26*S25</f>
        <v>7.0473761360079603</v>
      </c>
      <c r="R25" s="22">
        <f t="shared" si="21"/>
        <v>7.2753831274127982</v>
      </c>
      <c r="S25" s="22">
        <f t="shared" si="22"/>
        <v>0.13860607380233284</v>
      </c>
      <c r="T25" s="5"/>
      <c r="U25" s="5"/>
      <c r="V25" s="5"/>
      <c r="W25" s="5"/>
      <c r="Y25" s="5"/>
      <c r="Z25" s="5"/>
      <c r="AB25" s="17">
        <f t="shared" si="23"/>
        <v>0.5</v>
      </c>
      <c r="AC25" s="19">
        <f>AE25+'IN (mmol|L)'!$V$49*AF25</f>
        <v>7.2445391813897864</v>
      </c>
      <c r="AD25" s="19">
        <f>AE25-'IN (mmol|L)'!$V$49*AF25</f>
        <v>7.2442956575488022</v>
      </c>
      <c r="AE25" s="19">
        <f t="shared" si="24"/>
        <v>7.2444174194692943</v>
      </c>
      <c r="AF25" s="19">
        <f t="shared" si="25"/>
        <v>1.2176192049219737E-4</v>
      </c>
      <c r="AG25" s="5"/>
      <c r="AH25" s="5"/>
      <c r="AI25" s="5"/>
      <c r="AJ25" s="5"/>
      <c r="AK25" s="5"/>
      <c r="AL25" s="5"/>
      <c r="AM25" s="5"/>
      <c r="AN25" s="5"/>
      <c r="AO25" s="11">
        <f t="shared" si="26"/>
        <v>0.5</v>
      </c>
      <c r="AP25" s="13">
        <f>AR25+'IN (mmol|L)'!$V$72*AS25</f>
        <v>7.2444445737143504</v>
      </c>
      <c r="AQ25" s="13">
        <f>AR25-'IN (mmol|L)'!$V$72*AS25</f>
        <v>7.2444443610494389</v>
      </c>
      <c r="AR25" s="13">
        <f t="shared" si="27"/>
        <v>7.2444444673818946</v>
      </c>
      <c r="AS25" s="13">
        <f t="shared" si="28"/>
        <v>1.0633245573043506E-7</v>
      </c>
      <c r="AT25" s="5"/>
      <c r="AU25" s="5"/>
      <c r="AV25" s="5"/>
      <c r="AW25" s="5"/>
      <c r="AX25" s="5"/>
      <c r="AY25" s="5"/>
      <c r="AZ25" s="5"/>
      <c r="BA25" s="1"/>
      <c r="BB25" s="1"/>
      <c r="BC25" s="5"/>
      <c r="BD25" s="1"/>
      <c r="BE25" s="1"/>
      <c r="BF25" s="47"/>
      <c r="BG25" s="69"/>
      <c r="BH25" s="69"/>
      <c r="BI25" s="69"/>
      <c r="BJ25" s="66"/>
      <c r="BK25" s="34"/>
      <c r="BL25" s="34"/>
      <c r="BM25" s="34"/>
      <c r="BN25" s="34"/>
      <c r="BO25" s="34"/>
      <c r="BP25" s="34"/>
      <c r="BQ25" s="34"/>
      <c r="BR25" s="34"/>
    </row>
    <row r="26" spans="1:70">
      <c r="B26" s="14">
        <f t="shared" si="18"/>
        <v>0.60416666666666663</v>
      </c>
      <c r="C26" s="16">
        <f>E26+'IN (mmol|L)'!$V$3*F26</f>
        <v>10.064356280516664</v>
      </c>
      <c r="D26" s="16">
        <f>E26-'IN (mmol|L)'!$V$3*F26</f>
        <v>3.7852163690559877</v>
      </c>
      <c r="E26" s="16">
        <f t="shared" si="29"/>
        <v>6.9247863247863259</v>
      </c>
      <c r="F26" s="16">
        <f t="shared" si="19"/>
        <v>1.9085531645777132</v>
      </c>
      <c r="G26" s="5"/>
      <c r="H26" s="126">
        <v>36749</v>
      </c>
      <c r="I26" s="1507">
        <f>5-H27</f>
        <v>0</v>
      </c>
      <c r="J26" s="127"/>
      <c r="L26" s="242"/>
      <c r="M26" s="244"/>
      <c r="N26" s="244"/>
      <c r="O26" s="20">
        <f t="shared" si="20"/>
        <v>0.60416666666666663</v>
      </c>
      <c r="P26" s="22">
        <f>R26+'IN (mmol|L)'!$V$26*S26</f>
        <v>5.8085680272593496</v>
      </c>
      <c r="Q26" s="22">
        <f>R26-'IN (mmol|L)'!$V$26*S26</f>
        <v>5.2664762198792605</v>
      </c>
      <c r="R26" s="22">
        <f t="shared" si="21"/>
        <v>5.5375221235693051</v>
      </c>
      <c r="S26" s="22">
        <f t="shared" si="22"/>
        <v>0.16476954631613677</v>
      </c>
      <c r="T26" s="5"/>
      <c r="U26" s="5"/>
      <c r="V26" s="5"/>
      <c r="W26" s="5"/>
      <c r="Y26" s="5"/>
      <c r="Z26" s="5"/>
      <c r="AB26" s="17">
        <f t="shared" si="23"/>
        <v>0.60416666666666663</v>
      </c>
      <c r="AC26" s="19">
        <f>AE26+'IN (mmol|L)'!$V$49*AF26</f>
        <v>5.531590441489751</v>
      </c>
      <c r="AD26" s="19">
        <f>AE26-'IN (mmol|L)'!$V$49*AF26</f>
        <v>5.5313519914617117</v>
      </c>
      <c r="AE26" s="19">
        <f t="shared" si="24"/>
        <v>5.5314712164757314</v>
      </c>
      <c r="AF26" s="19">
        <f t="shared" si="25"/>
        <v>1.1922501401968413E-4</v>
      </c>
      <c r="AG26" s="5"/>
      <c r="AH26" s="5"/>
      <c r="AI26" s="5"/>
      <c r="AJ26" s="5"/>
      <c r="AK26" s="5"/>
      <c r="AL26" s="5"/>
      <c r="AM26" s="5"/>
      <c r="AN26" s="5"/>
      <c r="AO26" s="11">
        <f t="shared" si="26"/>
        <v>0.60416666666666663</v>
      </c>
      <c r="AP26" s="13">
        <f>AR26+'IN (mmol|L)'!$V$72*AS26</f>
        <v>5.5314815831443784</v>
      </c>
      <c r="AQ26" s="13">
        <f>AR26-'IN (mmol|L)'!$V$72*AS26</f>
        <v>5.5314814044075042</v>
      </c>
      <c r="AR26" s="13">
        <f t="shared" si="27"/>
        <v>5.5314814937759413</v>
      </c>
      <c r="AS26" s="13">
        <f t="shared" si="28"/>
        <v>8.9368437092953667E-8</v>
      </c>
      <c r="AT26" s="5"/>
      <c r="AU26" s="5"/>
      <c r="AV26" s="5"/>
      <c r="AW26" s="5"/>
      <c r="AX26" s="5"/>
      <c r="AY26" s="5"/>
      <c r="AZ26" s="5"/>
      <c r="BA26" s="1"/>
      <c r="BB26" s="1"/>
      <c r="BC26" s="5"/>
      <c r="BD26" s="1"/>
      <c r="BE26" s="1"/>
      <c r="BF26" s="47"/>
      <c r="BG26" s="69"/>
      <c r="BH26" s="69"/>
      <c r="BI26" s="69"/>
      <c r="BJ26" s="66"/>
      <c r="BK26" s="34"/>
      <c r="BL26" s="34"/>
      <c r="BM26" s="34"/>
      <c r="BN26" s="34"/>
      <c r="BO26" s="34"/>
      <c r="BP26" s="34"/>
      <c r="BQ26" s="34"/>
      <c r="BR26" s="34"/>
    </row>
    <row r="27" spans="1:70">
      <c r="B27" s="14">
        <f t="shared" si="18"/>
        <v>0.72916666666666663</v>
      </c>
      <c r="C27" s="16">
        <f>E27+'IN (mmol|L)'!$V$3*F27</f>
        <v>9.7360614175082976</v>
      </c>
      <c r="D27" s="16">
        <f>E27-'IN (mmol|L)'!$V$3*F27</f>
        <v>4.4502633688164899</v>
      </c>
      <c r="E27" s="16">
        <f t="shared" si="29"/>
        <v>7.0931623931623937</v>
      </c>
      <c r="F27" s="16">
        <f t="shared" si="19"/>
        <v>1.6066255467148352</v>
      </c>
      <c r="H27" s="126">
        <f>WEEKDAY(H26)</f>
        <v>5</v>
      </c>
      <c r="I27" s="1508"/>
      <c r="J27" s="127"/>
      <c r="L27" s="242"/>
      <c r="M27" s="244"/>
      <c r="N27" s="244"/>
      <c r="O27" s="20">
        <f t="shared" si="20"/>
        <v>0.72916666666666663</v>
      </c>
      <c r="P27" s="22">
        <f>R27+'IN (mmol|L)'!$V$26*S27</f>
        <v>7.7841617929248414</v>
      </c>
      <c r="Q27" s="22">
        <f>R27-'IN (mmol|L)'!$V$26*S27</f>
        <v>6.6116115565445934</v>
      </c>
      <c r="R27" s="22">
        <f t="shared" si="21"/>
        <v>7.1978866747347174</v>
      </c>
      <c r="S27" s="22">
        <f t="shared" si="22"/>
        <v>0.35639824813989296</v>
      </c>
      <c r="T27" s="5"/>
      <c r="U27" s="5"/>
      <c r="V27" s="5"/>
      <c r="W27" s="5"/>
      <c r="Y27" s="5"/>
      <c r="Z27" s="5"/>
      <c r="AB27" s="17">
        <f t="shared" si="23"/>
        <v>0.72916666666666663</v>
      </c>
      <c r="AC27" s="19">
        <f>AE27+'IN (mmol|L)'!$V$49*AF27</f>
        <v>7.1835683302381312</v>
      </c>
      <c r="AD27" s="19">
        <f>AE27-'IN (mmol|L)'!$V$49*AF27</f>
        <v>7.1830514275017929</v>
      </c>
      <c r="AE27" s="19">
        <f t="shared" si="24"/>
        <v>7.1833098788699621</v>
      </c>
      <c r="AF27" s="19">
        <f t="shared" si="25"/>
        <v>2.5845136816924469E-4</v>
      </c>
      <c r="AG27" s="5"/>
      <c r="AH27" s="5"/>
      <c r="AI27" s="5"/>
      <c r="AJ27" s="5"/>
      <c r="AK27" s="5"/>
      <c r="AL27" s="5"/>
      <c r="AM27" s="5"/>
      <c r="AN27" s="5"/>
      <c r="AO27" s="11">
        <f t="shared" si="26"/>
        <v>0.72916666666666663</v>
      </c>
      <c r="AP27" s="13">
        <f>AR27+'IN (mmol|L)'!$V$72*AS27</f>
        <v>7.1833335555119504</v>
      </c>
      <c r="AQ27" s="13">
        <f>AR27-'IN (mmol|L)'!$V$72*AS27</f>
        <v>7.1833331663956042</v>
      </c>
      <c r="AR27" s="13">
        <f t="shared" si="27"/>
        <v>7.1833333609537773</v>
      </c>
      <c r="AS27" s="13">
        <f t="shared" si="28"/>
        <v>1.9455817327026839E-7</v>
      </c>
      <c r="AT27" s="5"/>
      <c r="AU27" s="5"/>
      <c r="AV27" s="5"/>
      <c r="AW27" s="5"/>
      <c r="AX27" s="5"/>
      <c r="AY27" s="5"/>
      <c r="AZ27" s="5"/>
      <c r="BA27" s="1"/>
      <c r="BB27" s="1"/>
      <c r="BC27" s="5"/>
      <c r="BD27" s="1"/>
      <c r="BE27" s="1"/>
      <c r="BF27" s="47"/>
      <c r="BG27" s="69"/>
      <c r="BH27" s="69"/>
      <c r="BI27" s="69"/>
      <c r="BJ27" s="66"/>
      <c r="BK27" s="34"/>
      <c r="BL27" s="34"/>
      <c r="BM27" s="34"/>
      <c r="BN27" s="34"/>
      <c r="BO27" s="34"/>
      <c r="BP27" s="34"/>
      <c r="BQ27" s="34"/>
      <c r="BR27" s="34"/>
    </row>
    <row r="28" spans="1:70" ht="14" thickBot="1">
      <c r="B28" s="14">
        <f t="shared" si="18"/>
        <v>0.83333333333333337</v>
      </c>
      <c r="C28" s="16">
        <f>E28+'IN (mmol|L)'!$V$3*F28</f>
        <v>12.996491946270973</v>
      </c>
      <c r="D28" s="16">
        <f>E28-'IN (mmol|L)'!$V$3*F28</f>
        <v>5.502653352874324</v>
      </c>
      <c r="E28" s="16">
        <f t="shared" si="29"/>
        <v>9.2495726495726487</v>
      </c>
      <c r="F28" s="16">
        <f t="shared" si="19"/>
        <v>2.2777624903941187</v>
      </c>
      <c r="H28" s="126"/>
      <c r="I28" s="1509"/>
      <c r="J28" s="127"/>
      <c r="L28" s="242"/>
      <c r="M28" s="244"/>
      <c r="N28" s="244"/>
      <c r="O28" s="20">
        <f t="shared" si="20"/>
        <v>0.83333333333333337</v>
      </c>
      <c r="P28" s="22">
        <f>R28+'IN (mmol|L)'!$V$26*S28</f>
        <v>8.125927829096991</v>
      </c>
      <c r="Q28" s="22">
        <f>R28-'IN (mmol|L)'!$V$26*S28</f>
        <v>5.6842951452168275</v>
      </c>
      <c r="R28" s="22">
        <f t="shared" si="21"/>
        <v>6.9051114871569093</v>
      </c>
      <c r="S28" s="22">
        <f t="shared" si="22"/>
        <v>0.74213759388454792</v>
      </c>
      <c r="T28" s="5"/>
      <c r="U28" s="5"/>
      <c r="V28" s="5"/>
      <c r="W28" s="5"/>
      <c r="Y28" s="5"/>
      <c r="Z28" s="5"/>
      <c r="AB28" s="17">
        <f t="shared" si="23"/>
        <v>0.83333333333333337</v>
      </c>
      <c r="AC28" s="19">
        <f>AE28+'IN (mmol|L)'!$V$49*AF28</f>
        <v>6.9505523109079732</v>
      </c>
      <c r="AD28" s="19">
        <f>AE28-'IN (mmol|L)'!$V$49*AF28</f>
        <v>6.9494811211329051</v>
      </c>
      <c r="AE28" s="19">
        <f t="shared" si="24"/>
        <v>6.9500167160204391</v>
      </c>
      <c r="AF28" s="19">
        <f t="shared" si="25"/>
        <v>5.355948875339332E-4</v>
      </c>
      <c r="AG28" s="5"/>
      <c r="AH28" s="5"/>
      <c r="AI28" s="5"/>
      <c r="AJ28" s="5"/>
      <c r="AK28" s="5"/>
      <c r="AL28" s="5"/>
      <c r="AM28" s="5"/>
      <c r="AN28" s="5"/>
      <c r="AO28" s="11">
        <f t="shared" si="26"/>
        <v>0.83333333333333337</v>
      </c>
      <c r="AP28" s="13">
        <f>AR28+'IN (mmol|L)'!$V$72*AS28</f>
        <v>6.9500003848939089</v>
      </c>
      <c r="AQ28" s="13">
        <f>AR28-'IN (mmol|L)'!$V$72*AS28</f>
        <v>6.9499996190349043</v>
      </c>
      <c r="AR28" s="13">
        <f t="shared" si="27"/>
        <v>6.9500000019644066</v>
      </c>
      <c r="AS28" s="13">
        <f t="shared" si="28"/>
        <v>3.8292950209500951E-7</v>
      </c>
      <c r="AT28" s="5"/>
      <c r="AU28" s="5"/>
      <c r="AV28" s="5"/>
      <c r="AW28" s="5"/>
      <c r="AX28" s="5"/>
      <c r="AY28" s="5"/>
      <c r="AZ28" s="5"/>
      <c r="BA28" s="1"/>
      <c r="BB28" s="1"/>
      <c r="BC28" s="5"/>
      <c r="BD28" s="1"/>
      <c r="BE28" s="1"/>
      <c r="BF28" s="47"/>
      <c r="BG28" s="69"/>
      <c r="BH28" s="69"/>
      <c r="BI28" s="69"/>
      <c r="BJ28" s="66"/>
      <c r="BK28" s="34"/>
      <c r="BL28" s="34"/>
      <c r="BM28" s="34"/>
      <c r="BN28" s="34"/>
      <c r="BO28" s="34"/>
      <c r="BP28" s="34"/>
      <c r="BQ28" s="34"/>
      <c r="BR28" s="34"/>
    </row>
    <row r="29" spans="1:70">
      <c r="B29" s="14">
        <f t="shared" si="18"/>
        <v>0.95833333333333337</v>
      </c>
      <c r="C29" s="16">
        <f>E29+'IN (mmol|L)'!$V$3*F29</f>
        <v>10.428000142641109</v>
      </c>
      <c r="D29" s="16">
        <f>E29-'IN (mmol|L)'!$V$3*F29</f>
        <v>5.3719998573588903</v>
      </c>
      <c r="E29" s="16">
        <f t="shared" si="29"/>
        <v>7.8999999999999995</v>
      </c>
      <c r="F29" s="16">
        <f t="shared" si="19"/>
        <v>1.53677820221344</v>
      </c>
      <c r="G29" s="5"/>
      <c r="H29" s="126"/>
      <c r="I29" s="128"/>
      <c r="J29" s="127"/>
      <c r="L29" s="242"/>
      <c r="M29" s="244"/>
      <c r="N29" s="244"/>
      <c r="O29" s="20">
        <f t="shared" si="20"/>
        <v>0.95833333333333337</v>
      </c>
      <c r="P29" s="22">
        <f>R29+'IN (mmol|L)'!$V$26*S29</f>
        <v>7.8154832429402932</v>
      </c>
      <c r="Q29" s="22">
        <f>R29-'IN (mmol|L)'!$V$26*S29</f>
        <v>5.9858456258986079</v>
      </c>
      <c r="R29" s="22">
        <f t="shared" si="21"/>
        <v>6.9006644344194505</v>
      </c>
      <c r="S29" s="22">
        <f t="shared" si="22"/>
        <v>0.55612085624367313</v>
      </c>
      <c r="T29" s="5"/>
      <c r="U29" s="5"/>
      <c r="V29" s="5"/>
      <c r="W29" s="5"/>
      <c r="Y29" s="5"/>
      <c r="Z29" s="5"/>
      <c r="AB29" s="17">
        <f t="shared" si="23"/>
        <v>0.95833333333333337</v>
      </c>
      <c r="AC29" s="19">
        <f>AE29+'IN (mmol|L)'!$V$49*AF29</f>
        <v>6.9726937742720594</v>
      </c>
      <c r="AD29" s="19">
        <f>AE29-'IN (mmol|L)'!$V$49*AF29</f>
        <v>6.971846362890247</v>
      </c>
      <c r="AE29" s="19">
        <f t="shared" si="24"/>
        <v>6.9722700685811532</v>
      </c>
      <c r="AF29" s="19">
        <f t="shared" si="25"/>
        <v>4.2370569090632832E-4</v>
      </c>
      <c r="AG29" s="5"/>
      <c r="AH29" s="5"/>
      <c r="AI29" s="5"/>
      <c r="AJ29" s="5"/>
      <c r="AK29" s="5"/>
      <c r="AL29" s="5"/>
      <c r="AM29" s="5"/>
      <c r="AN29" s="5"/>
      <c r="AO29" s="11">
        <f t="shared" si="26"/>
        <v>0.95833333333333337</v>
      </c>
      <c r="AP29" s="13">
        <f>AR29+'IN (mmol|L)'!$V$72*AS29</f>
        <v>6.9722225097586525</v>
      </c>
      <c r="AQ29" s="13">
        <f>AR29-'IN (mmol|L)'!$V$72*AS29</f>
        <v>6.9722218745192892</v>
      </c>
      <c r="AR29" s="13">
        <f t="shared" si="27"/>
        <v>6.9722221921389709</v>
      </c>
      <c r="AS29" s="13">
        <f t="shared" si="28"/>
        <v>3.1761968138501217E-7</v>
      </c>
      <c r="AT29" s="5"/>
      <c r="AU29" s="5"/>
      <c r="AV29" s="5"/>
      <c r="AW29" s="5"/>
      <c r="AX29" s="5"/>
      <c r="AY29" s="5"/>
      <c r="AZ29" s="5"/>
      <c r="BA29" s="1"/>
      <c r="BB29" s="1"/>
      <c r="BC29" s="5"/>
      <c r="BD29" s="1"/>
      <c r="BE29" s="1"/>
      <c r="BF29" s="47"/>
      <c r="BG29" s="69"/>
      <c r="BH29" s="69"/>
      <c r="BI29" s="69"/>
      <c r="BJ29" s="66"/>
      <c r="BK29" s="34"/>
      <c r="BL29" s="34"/>
      <c r="BM29" s="34"/>
      <c r="BN29" s="34"/>
      <c r="BO29" s="34"/>
      <c r="BP29" s="34"/>
      <c r="BQ29" s="34"/>
      <c r="BR29" s="34"/>
    </row>
    <row r="30" spans="1:70" ht="14" thickBot="1">
      <c r="B30" s="14" t="str">
        <f t="shared" si="18"/>
        <v>Nacht</v>
      </c>
      <c r="C30" s="16">
        <f>E30+'IN (mmol|L)'!$V$3*F30</f>
        <v>6.9028354397530256</v>
      </c>
      <c r="D30" s="16">
        <f>E30-'IN (mmol|L)'!$V$3*F30</f>
        <v>5.3706688337512469</v>
      </c>
      <c r="E30" s="16">
        <f t="shared" si="29"/>
        <v>6.1367521367521363</v>
      </c>
      <c r="F30" s="16">
        <f t="shared" si="19"/>
        <v>0.46570413556285051</v>
      </c>
      <c r="G30" s="5"/>
      <c r="H30" s="1511" t="s">
        <v>137</v>
      </c>
      <c r="I30" s="1512"/>
      <c r="J30" s="1513"/>
      <c r="L30" s="242"/>
      <c r="M30" s="244"/>
      <c r="N30" s="244"/>
      <c r="O30" s="20" t="str">
        <f t="shared" si="20"/>
        <v>Nacht</v>
      </c>
      <c r="P30" s="22">
        <f>R30+'IN (mmol|L)'!$V$26*S30</f>
        <v>6.1904245034750947</v>
      </c>
      <c r="Q30" s="22">
        <f>R30-'IN (mmol|L)'!$V$26*S30</f>
        <v>5.9212302963268382</v>
      </c>
      <c r="R30" s="22">
        <f t="shared" si="21"/>
        <v>6.0558273999009664</v>
      </c>
      <c r="S30" s="22">
        <f t="shared" si="22"/>
        <v>8.1821947461476072E-2</v>
      </c>
      <c r="T30" s="5"/>
      <c r="U30" s="5"/>
      <c r="V30" s="5"/>
      <c r="W30" s="5"/>
      <c r="Y30" s="5"/>
      <c r="Z30" s="5"/>
      <c r="AB30" s="17" t="str">
        <f t="shared" si="23"/>
        <v>Nacht</v>
      </c>
      <c r="AC30" s="19">
        <f>AE30+'IN (mmol|L)'!$V$49*AF30</f>
        <v>6.0723040174901906</v>
      </c>
      <c r="AD30" s="19">
        <f>AE30-'IN (mmol|L)'!$V$49*AF30</f>
        <v>6.0721665591954421</v>
      </c>
      <c r="AE30" s="19">
        <f t="shared" si="24"/>
        <v>6.0722352883428163</v>
      </c>
      <c r="AF30" s="19">
        <f t="shared" si="25"/>
        <v>6.8729147374325917E-5</v>
      </c>
      <c r="AG30" s="5"/>
      <c r="AH30" s="5"/>
      <c r="AI30" s="5"/>
      <c r="AJ30" s="5"/>
      <c r="AK30" s="5"/>
      <c r="AL30" s="5"/>
      <c r="AM30" s="5"/>
      <c r="AN30" s="5"/>
      <c r="AO30" s="11" t="str">
        <f t="shared" si="26"/>
        <v>Nacht</v>
      </c>
      <c r="AP30" s="13">
        <f>AR30+'IN (mmol|L)'!$V$72*AS30</f>
        <v>6.0722222688344418</v>
      </c>
      <c r="AQ30" s="13">
        <f>AR30-'IN (mmol|L)'!$V$72*AS30</f>
        <v>6.0722221552322635</v>
      </c>
      <c r="AR30" s="13">
        <f t="shared" si="27"/>
        <v>6.0722222120333527</v>
      </c>
      <c r="AS30" s="13">
        <f t="shared" si="28"/>
        <v>5.6801089326630475E-8</v>
      </c>
      <c r="AT30" s="5"/>
      <c r="AU30" s="5"/>
      <c r="AV30" s="5"/>
      <c r="AW30" s="5"/>
      <c r="AX30" s="5"/>
      <c r="AY30" s="5"/>
      <c r="AZ30" s="5"/>
      <c r="BA30" s="1"/>
      <c r="BB30" s="1"/>
      <c r="BC30" s="5"/>
      <c r="BD30" s="1"/>
      <c r="BE30" s="1"/>
      <c r="BF30" s="47"/>
      <c r="BG30" s="69"/>
      <c r="BH30" s="69"/>
      <c r="BI30" s="69"/>
      <c r="BJ30" s="66"/>
      <c r="BK30" s="34"/>
      <c r="BL30" s="34"/>
      <c r="BM30" s="34"/>
      <c r="BN30" s="34"/>
      <c r="BO30" s="34"/>
      <c r="BP30" s="34"/>
      <c r="BQ30" s="34"/>
      <c r="BR30" s="34"/>
    </row>
    <row r="31" spans="1:70">
      <c r="B31" s="14" t="str">
        <f t="shared" si="18"/>
        <v>Früh</v>
      </c>
      <c r="C31" s="16">
        <f>E31+'IN (mmol|L)'!$V$3*F31</f>
        <v>6.2953515814584478</v>
      </c>
      <c r="D31" s="16">
        <f>E31-'IN (mmol|L)'!$V$3*F31</f>
        <v>5.9882191687789703</v>
      </c>
      <c r="E31" s="16">
        <f t="shared" si="29"/>
        <v>6.141785375118709</v>
      </c>
      <c r="F31" s="16">
        <f t="shared" si="19"/>
        <v>9.3353316923853402E-2</v>
      </c>
      <c r="G31" s="5"/>
      <c r="H31" s="5"/>
      <c r="I31" s="5"/>
      <c r="J31" s="5"/>
      <c r="L31" s="242"/>
      <c r="M31" s="244"/>
      <c r="N31" s="244"/>
      <c r="O31" s="20" t="str">
        <f t="shared" si="20"/>
        <v>Früh</v>
      </c>
      <c r="P31" s="22">
        <f>R31+'IN (mmol|L)'!$V$26*S31</f>
        <v>6.2742344959769643</v>
      </c>
      <c r="Q31" s="22">
        <f>R31-'IN (mmol|L)'!$V$26*S31</f>
        <v>6.1973511226778495</v>
      </c>
      <c r="R31" s="22">
        <f t="shared" si="21"/>
        <v>6.2357928093274069</v>
      </c>
      <c r="S31" s="22">
        <f t="shared" si="22"/>
        <v>2.3368806473894846E-2</v>
      </c>
      <c r="T31" s="5"/>
      <c r="U31" s="5"/>
      <c r="V31" s="5"/>
      <c r="W31" s="5"/>
      <c r="Y31" s="5"/>
      <c r="Z31" s="5"/>
      <c r="AB31" s="17" t="str">
        <f t="shared" si="23"/>
        <v>Früh</v>
      </c>
      <c r="AC31" s="19">
        <f>AE31+'IN (mmol|L)'!$V$49*AF31</f>
        <v>6.2356125459505121</v>
      </c>
      <c r="AD31" s="19">
        <f>AE31-'IN (mmol|L)'!$V$49*AF31</f>
        <v>6.2355790830288553</v>
      </c>
      <c r="AE31" s="19">
        <f t="shared" si="24"/>
        <v>6.2355958144896837</v>
      </c>
      <c r="AF31" s="19">
        <f t="shared" si="25"/>
        <v>1.6731460828059211E-5</v>
      </c>
      <c r="AG31" s="5"/>
      <c r="AH31" s="5"/>
      <c r="AI31" s="5"/>
      <c r="AJ31" s="5"/>
      <c r="AK31" s="5"/>
      <c r="AL31" s="5"/>
      <c r="AM31" s="5"/>
      <c r="AN31" s="5"/>
      <c r="AO31" s="11" t="str">
        <f t="shared" si="26"/>
        <v>Früh</v>
      </c>
      <c r="AP31" s="13">
        <f>AR31+'IN (mmol|L)'!$V$72*AS31</f>
        <v>6.235596721320511</v>
      </c>
      <c r="AQ31" s="13">
        <f>AR31-'IN (mmol|L)'!$V$72*AS31</f>
        <v>6.2355966968707017</v>
      </c>
      <c r="AR31" s="13">
        <f t="shared" si="27"/>
        <v>6.2355967090956064</v>
      </c>
      <c r="AS31" s="13">
        <f t="shared" si="28"/>
        <v>1.2224905060376108E-8</v>
      </c>
      <c r="AT31" s="5"/>
      <c r="AU31" s="5"/>
      <c r="AV31" s="5"/>
      <c r="AW31" s="5"/>
      <c r="AX31" s="5"/>
      <c r="AY31" s="5"/>
      <c r="AZ31" s="5"/>
      <c r="BA31" s="1"/>
      <c r="BB31" s="1"/>
      <c r="BC31" s="5"/>
      <c r="BD31" s="1"/>
      <c r="BE31" s="1"/>
      <c r="BF31" s="47"/>
      <c r="BG31" s="69"/>
      <c r="BH31" s="69"/>
      <c r="BI31" s="69"/>
      <c r="BJ31" s="66"/>
      <c r="BK31" s="34"/>
      <c r="BL31" s="34"/>
      <c r="BM31" s="34"/>
      <c r="BN31" s="34"/>
      <c r="BO31" s="34"/>
      <c r="BP31" s="34"/>
      <c r="BQ31" s="34"/>
      <c r="BR31" s="34"/>
    </row>
    <row r="32" spans="1:70">
      <c r="B32" s="23" t="str">
        <f>'IN (mmol|L)'!E3</f>
        <v>SO</v>
      </c>
      <c r="C32" s="23" t="str">
        <f>'IN (mmol|L)'!F3</f>
        <v>SO</v>
      </c>
      <c r="D32" s="23" t="str">
        <f>'IN (mmol|L)'!G3</f>
        <v>SO</v>
      </c>
      <c r="E32" s="23" t="str">
        <f>'IN (mmol|L)'!H3</f>
        <v>SO</v>
      </c>
      <c r="F32" s="23" t="str">
        <f>'IN (mmol|L)'!I3</f>
        <v>SO</v>
      </c>
      <c r="G32" s="23" t="str">
        <f>'IN (mmol|L)'!J3</f>
        <v>SO</v>
      </c>
      <c r="H32" s="23" t="str">
        <f>'IN (mmol|L)'!K3</f>
        <v>SO</v>
      </c>
      <c r="I32" s="23" t="str">
        <f>'IN (mmol|L)'!L3</f>
        <v>SO</v>
      </c>
      <c r="J32" s="23" t="str">
        <f>'IN (mmol|L)'!M3</f>
        <v>SO</v>
      </c>
      <c r="K32" s="23" t="str">
        <f>'IN (mmol|L)'!N3</f>
        <v>SO</v>
      </c>
      <c r="L32" s="23" t="str">
        <f>'IN (mmol|L)'!O3</f>
        <v>SO</v>
      </c>
      <c r="M32" s="23" t="str">
        <f>'IN (mmol|L)'!P3</f>
        <v>SO</v>
      </c>
      <c r="N32" s="23" t="str">
        <f>'IN (mmol|L)'!Q3</f>
        <v>SO</v>
      </c>
      <c r="O32" s="23" t="str">
        <f>'IN (mmol|L)'!E26</f>
        <v>SO</v>
      </c>
      <c r="P32" s="23" t="str">
        <f>'IN (mmol|L)'!F26</f>
        <v>SO</v>
      </c>
      <c r="Q32" s="23" t="str">
        <f>'IN (mmol|L)'!G26</f>
        <v>SO</v>
      </c>
      <c r="R32" s="23" t="str">
        <f>'IN (mmol|L)'!H26</f>
        <v>SO</v>
      </c>
      <c r="S32" s="23" t="str">
        <f>'IN (mmol|L)'!I26</f>
        <v>SO</v>
      </c>
      <c r="T32" s="23" t="str">
        <f>'IN (mmol|L)'!J26</f>
        <v>SO</v>
      </c>
      <c r="U32" s="23" t="str">
        <f>'IN (mmol|L)'!K26</f>
        <v>SO</v>
      </c>
      <c r="V32" s="23" t="str">
        <f>'IN (mmol|L)'!L26</f>
        <v>SO</v>
      </c>
      <c r="W32" s="23" t="str">
        <f>'IN (mmol|L)'!M26</f>
        <v>SO</v>
      </c>
      <c r="X32" s="23" t="str">
        <f>'IN (mmol|L)'!N26</f>
        <v>SO</v>
      </c>
      <c r="Y32" s="23" t="str">
        <f>'IN (mmol|L)'!O26</f>
        <v>SO</v>
      </c>
      <c r="Z32" s="23" t="str">
        <f>'IN (mmol|L)'!P26</f>
        <v>SO</v>
      </c>
      <c r="AA32" s="23" t="str">
        <f>'IN (mmol|L)'!Q26</f>
        <v>SO</v>
      </c>
      <c r="AB32" s="23" t="str">
        <f>'IN (mmol|L)'!E49</f>
        <v>SO</v>
      </c>
      <c r="AC32" s="23" t="str">
        <f>'IN (mmol|L)'!F49</f>
        <v>SO</v>
      </c>
      <c r="AD32" s="23" t="str">
        <f>'IN (mmol|L)'!G49</f>
        <v>SO</v>
      </c>
      <c r="AE32" s="23" t="str">
        <f>'IN (mmol|L)'!H49</f>
        <v>SO</v>
      </c>
      <c r="AF32" s="23" t="str">
        <f>'IN (mmol|L)'!I49</f>
        <v>SO</v>
      </c>
      <c r="AG32" s="23" t="str">
        <f>'IN (mmol|L)'!J49</f>
        <v>SO</v>
      </c>
      <c r="AH32" s="23" t="str">
        <f>'IN (mmol|L)'!K49</f>
        <v>SO</v>
      </c>
      <c r="AI32" s="23" t="str">
        <f>'IN (mmol|L)'!L49</f>
        <v>SO</v>
      </c>
      <c r="AJ32" s="23" t="str">
        <f>'IN (mmol|L)'!M49</f>
        <v>SO</v>
      </c>
      <c r="AK32" s="23" t="str">
        <f>'IN (mmol|L)'!N49</f>
        <v>SO</v>
      </c>
      <c r="AL32" s="23" t="str">
        <f>'IN (mmol|L)'!O49</f>
        <v>SO</v>
      </c>
      <c r="AM32" s="23" t="str">
        <f>'IN (mmol|L)'!P49</f>
        <v>SO</v>
      </c>
      <c r="AN32" s="23" t="str">
        <f>'IN (mmol|L)'!Q49</f>
        <v>SO</v>
      </c>
      <c r="AO32" s="23" t="str">
        <f>'IN (mmol|L)'!E72</f>
        <v>SO</v>
      </c>
      <c r="AP32" s="23" t="str">
        <f>'IN (mmol|L)'!F72</f>
        <v>SO</v>
      </c>
      <c r="AQ32" s="23" t="str">
        <f>'IN (mmol|L)'!G72</f>
        <v>SO</v>
      </c>
      <c r="AR32" s="23" t="str">
        <f>'IN (mmol|L)'!H72</f>
        <v>SO</v>
      </c>
      <c r="AS32" s="23" t="str">
        <f>'IN (mmol|L)'!I72</f>
        <v>SO</v>
      </c>
      <c r="AT32" s="23" t="str">
        <f>'IN (mmol|L)'!J72</f>
        <v>SO</v>
      </c>
      <c r="AU32" s="23" t="str">
        <f>'IN (mmol|L)'!K72</f>
        <v>SO</v>
      </c>
      <c r="AV32" s="23" t="str">
        <f>'IN (mmol|L)'!L72</f>
        <v>SO</v>
      </c>
      <c r="AW32" s="23" t="str">
        <f>'IN (mmol|L)'!M72</f>
        <v>SO</v>
      </c>
      <c r="AX32" s="23" t="str">
        <f>'IN (mmol|L)'!N72</f>
        <v>SO</v>
      </c>
      <c r="AY32" s="23" t="str">
        <f>'IN (mmol|L)'!O72</f>
        <v>SO</v>
      </c>
      <c r="AZ32" s="23" t="str">
        <f>'IN (mmol|L)'!P72</f>
        <v>SO</v>
      </c>
      <c r="BA32" s="23" t="str">
        <f>'IN (mmol|L)'!Q72</f>
        <v>SO</v>
      </c>
      <c r="BB32" s="1" t="s">
        <v>51</v>
      </c>
      <c r="BC32" s="1"/>
      <c r="BD32" s="1"/>
      <c r="BE32" s="1"/>
      <c r="BF32" s="408"/>
      <c r="BG32" s="408"/>
      <c r="BH32" s="408"/>
      <c r="BI32" s="408"/>
      <c r="BJ32" s="408"/>
      <c r="BK32" s="408"/>
      <c r="BL32" s="408"/>
      <c r="BM32" s="408"/>
      <c r="BN32" s="408"/>
      <c r="BO32" s="408"/>
      <c r="BP32" s="35"/>
      <c r="BQ32" s="34"/>
      <c r="BR32" s="34"/>
    </row>
    <row r="33" spans="1:70" ht="1" customHeight="1">
      <c r="AS33" s="5"/>
      <c r="AT33" s="1"/>
      <c r="AU33" s="1"/>
      <c r="AV33" s="1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</row>
    <row r="34" spans="1:70" ht="1" customHeight="1">
      <c r="AS34" s="5"/>
      <c r="AT34" s="1"/>
      <c r="AU34" s="1"/>
      <c r="AV34" s="1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</row>
    <row r="35" spans="1:70" ht="1" customHeight="1">
      <c r="AP35" s="5"/>
      <c r="AQ35" s="1"/>
      <c r="AR35" s="1"/>
      <c r="AS35" s="1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</row>
    <row r="36" spans="1:70" ht="1" customHeight="1">
      <c r="AP36" s="5"/>
      <c r="AQ36" s="1"/>
      <c r="AR36" s="1"/>
      <c r="AS36" s="1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</row>
    <row r="37" spans="1:70" ht="1" customHeight="1">
      <c r="AP37" s="5"/>
      <c r="AQ37" s="1"/>
      <c r="AR37" s="1"/>
      <c r="AS37" s="1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</row>
    <row r="38" spans="1:70" ht="1" customHeight="1">
      <c r="AP38" s="5"/>
      <c r="AQ38" s="1"/>
      <c r="AR38" s="1"/>
      <c r="AS38" s="1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</row>
    <row r="39" spans="1:70" ht="1" customHeight="1" thickBo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1"/>
      <c r="AQ39" s="1"/>
      <c r="AR39" s="1"/>
      <c r="AS39" s="1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</row>
    <row r="40" spans="1:70" ht="14" thickBot="1"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268"/>
      <c r="AS40" s="269"/>
      <c r="AT40" s="270" t="s">
        <v>39</v>
      </c>
      <c r="AU40" s="271"/>
      <c r="AV40" s="271"/>
      <c r="AW40" s="271"/>
      <c r="AX40" s="271"/>
      <c r="AY40" s="271"/>
      <c r="AZ40" s="271"/>
      <c r="BA40" s="271"/>
      <c r="BB40" s="271"/>
      <c r="BC40" s="272"/>
      <c r="BF40" s="409"/>
      <c r="BG40" s="409"/>
      <c r="BH40" s="409"/>
      <c r="BI40" s="409"/>
      <c r="BJ40" s="409"/>
      <c r="BK40" s="409"/>
      <c r="BL40" s="409"/>
      <c r="BM40" s="409"/>
      <c r="BN40" s="409"/>
      <c r="BO40" s="409"/>
      <c r="BP40" s="409"/>
      <c r="BQ40" s="409"/>
      <c r="BR40" s="409"/>
    </row>
    <row r="41" spans="1:70" ht="14" thickBot="1"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273"/>
      <c r="AS41" s="274" t="s">
        <v>44</v>
      </c>
      <c r="AT41" s="1216" t="str">
        <f>'(intern)'!AT42</f>
        <v>&gt;14,0</v>
      </c>
      <c r="AU41" s="1217" t="str">
        <f>'(intern)'!AU42</f>
        <v>12,5-14,0</v>
      </c>
      <c r="AV41" s="1217" t="str">
        <f>'(intern)'!AV42</f>
        <v>11,0-12,5</v>
      </c>
      <c r="AW41" s="1217" t="str">
        <f>'(intern)'!AW42</f>
        <v>9,5-11,0</v>
      </c>
      <c r="AX41" s="1217" t="str">
        <f>'(intern)'!AX42</f>
        <v>8,0-9,5</v>
      </c>
      <c r="AY41" s="1217" t="str">
        <f>'(intern)'!AY42</f>
        <v>6,5-8,0</v>
      </c>
      <c r="AZ41" s="1217" t="str">
        <f>'(intern)'!AZ42</f>
        <v>5,0-6,5</v>
      </c>
      <c r="BA41" s="1217" t="str">
        <f>'(intern)'!BA42</f>
        <v>3,5-5,0</v>
      </c>
      <c r="BB41" s="1217" t="str">
        <f>'(intern)'!BB42</f>
        <v>2,0-3,5</v>
      </c>
      <c r="BC41" s="1218" t="str">
        <f>'(intern)'!BC42</f>
        <v>&lt; 2,0</v>
      </c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</row>
    <row r="42" spans="1:70" ht="14" thickBot="1"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275"/>
      <c r="AS42" s="276"/>
      <c r="AT42" s="1182">
        <f>'(intern)'!AT43</f>
        <v>0</v>
      </c>
      <c r="AU42" s="1219">
        <f>'(intern)'!AU43</f>
        <v>0</v>
      </c>
      <c r="AV42" s="1219">
        <f>'(intern)'!AV43</f>
        <v>3</v>
      </c>
      <c r="AW42" s="1219">
        <f>'(intern)'!AW43</f>
        <v>56</v>
      </c>
      <c r="AX42" s="1219">
        <f>'(intern)'!AX43</f>
        <v>22</v>
      </c>
      <c r="AY42" s="1219">
        <f>'(intern)'!AY43</f>
        <v>172</v>
      </c>
      <c r="AZ42" s="1219">
        <f>'(intern)'!AZ43</f>
        <v>209</v>
      </c>
      <c r="BA42" s="1219">
        <f>'(intern)'!BA43</f>
        <v>6</v>
      </c>
      <c r="BB42" s="1219">
        <f>'(intern)'!BB43</f>
        <v>0</v>
      </c>
      <c r="BC42" s="1220">
        <f>'(intern)'!BC43</f>
        <v>0</v>
      </c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</row>
    <row r="43" spans="1:70" ht="1" customHeight="1"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</row>
    <row r="44" spans="1:70" ht="1" customHeight="1"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</row>
    <row r="45" spans="1:70" ht="1" customHeight="1"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</row>
    <row r="46" spans="1:70" ht="1" customHeight="1"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</row>
    <row r="47" spans="1:70" ht="1" customHeight="1"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</row>
    <row r="48" spans="1:70" ht="1" customHeight="1"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</row>
    <row r="49" spans="22:70" ht="1" customHeight="1"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</row>
    <row r="50" spans="22:70" ht="1" customHeight="1"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</row>
    <row r="51" spans="22:70" ht="1" customHeight="1"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</row>
    <row r="52" spans="22:70" ht="1" customHeight="1"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</row>
    <row r="53" spans="22:70" ht="1" customHeight="1"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</row>
    <row r="54" spans="22:70" ht="1" customHeight="1"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</row>
    <row r="55" spans="22:70" ht="1" customHeight="1"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</row>
    <row r="56" spans="22:70" ht="1" customHeight="1"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</row>
    <row r="57" spans="22:70" ht="1" customHeight="1"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</row>
    <row r="58" spans="22:70" ht="1" customHeight="1"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</row>
    <row r="59" spans="22:70" ht="1" customHeight="1"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</row>
    <row r="60" spans="22:70" ht="1" customHeight="1">
      <c r="V60" s="105"/>
      <c r="W60" s="105"/>
      <c r="X60" s="105"/>
      <c r="Y60" s="105"/>
      <c r="Z60" s="105"/>
      <c r="AA60" s="105"/>
      <c r="AB60" s="105"/>
      <c r="AC60" s="106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</row>
    <row r="61" spans="22:70" ht="1" customHeight="1"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</row>
    <row r="62" spans="22:70" ht="1" customHeight="1"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</row>
    <row r="63" spans="22:70" ht="1" customHeight="1"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</row>
    <row r="64" spans="22:70" ht="1.75" customHeight="1"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</row>
    <row r="65" spans="1:70">
      <c r="A65" s="200" t="s">
        <v>45</v>
      </c>
      <c r="B65" s="192">
        <f>'IN (mmol|L)'!E2</f>
        <v>1</v>
      </c>
      <c r="C65" s="192">
        <f>'IN (mmol|L)'!F2</f>
        <v>2</v>
      </c>
      <c r="D65" s="192">
        <f>'IN (mmol|L)'!G2</f>
        <v>3</v>
      </c>
      <c r="E65" s="192">
        <f>'IN (mmol|L)'!H2</f>
        <v>4</v>
      </c>
      <c r="F65" s="192">
        <f>'IN (mmol|L)'!I2</f>
        <v>5</v>
      </c>
      <c r="G65" s="192">
        <f>'IN (mmol|L)'!J2</f>
        <v>6</v>
      </c>
      <c r="H65" s="192">
        <f>'IN (mmol|L)'!K2</f>
        <v>7</v>
      </c>
      <c r="I65" s="192">
        <f>'IN (mmol|L)'!L2</f>
        <v>8</v>
      </c>
      <c r="J65" s="192">
        <f>'IN (mmol|L)'!M2</f>
        <v>9</v>
      </c>
      <c r="K65" s="192">
        <f>'IN (mmol|L)'!N2</f>
        <v>10</v>
      </c>
      <c r="L65" s="192">
        <f>'IN (mmol|L)'!O2</f>
        <v>11</v>
      </c>
      <c r="M65" s="192">
        <f>'IN (mmol|L)'!P2</f>
        <v>12</v>
      </c>
      <c r="N65" s="192">
        <f>'IN (mmol|L)'!Q2</f>
        <v>13</v>
      </c>
      <c r="O65" s="193">
        <f>'IN (mmol|L)'!E25</f>
        <v>14</v>
      </c>
      <c r="P65" s="193">
        <f>'IN (mmol|L)'!F25</f>
        <v>15</v>
      </c>
      <c r="Q65" s="193">
        <f>'IN (mmol|L)'!G25</f>
        <v>16</v>
      </c>
      <c r="R65" s="193">
        <f>'IN (mmol|L)'!H25</f>
        <v>17</v>
      </c>
      <c r="S65" s="193">
        <f>'IN (mmol|L)'!I25</f>
        <v>18</v>
      </c>
      <c r="T65" s="193">
        <f>'IN (mmol|L)'!J25</f>
        <v>19</v>
      </c>
      <c r="U65" s="193">
        <f>'IN (mmol|L)'!K25</f>
        <v>20</v>
      </c>
      <c r="V65" s="193">
        <f>'IN (mmol|L)'!L25</f>
        <v>21</v>
      </c>
      <c r="W65" s="193">
        <f>'IN (mmol|L)'!M25</f>
        <v>22</v>
      </c>
      <c r="X65" s="193">
        <f>'IN (mmol|L)'!N25</f>
        <v>23</v>
      </c>
      <c r="Y65" s="193">
        <f>'IN (mmol|L)'!O25</f>
        <v>24</v>
      </c>
      <c r="Z65" s="193">
        <f>'IN (mmol|L)'!P25</f>
        <v>25</v>
      </c>
      <c r="AA65" s="193">
        <f>'IN (mmol|L)'!Q25</f>
        <v>26</v>
      </c>
      <c r="AB65" s="194">
        <f>'IN (mmol|L)'!E48</f>
        <v>27</v>
      </c>
      <c r="AC65" s="194">
        <f>'IN (mmol|L)'!F48</f>
        <v>28</v>
      </c>
      <c r="AD65" s="194">
        <f>'IN (mmol|L)'!G48</f>
        <v>29</v>
      </c>
      <c r="AE65" s="194">
        <f>'IN (mmol|L)'!H48</f>
        <v>30</v>
      </c>
      <c r="AF65" s="194">
        <f>'IN (mmol|L)'!I48</f>
        <v>31</v>
      </c>
      <c r="AG65" s="194">
        <f>'IN (mmol|L)'!J48</f>
        <v>32</v>
      </c>
      <c r="AH65" s="194">
        <f>'IN (mmol|L)'!K48</f>
        <v>33</v>
      </c>
      <c r="AI65" s="194">
        <f>'IN (mmol|L)'!L48</f>
        <v>34</v>
      </c>
      <c r="AJ65" s="194">
        <f>'IN (mmol|L)'!M48</f>
        <v>35</v>
      </c>
      <c r="AK65" s="194">
        <f>'IN (mmol|L)'!N48</f>
        <v>36</v>
      </c>
      <c r="AL65" s="194">
        <f>'IN (mmol|L)'!O48</f>
        <v>37</v>
      </c>
      <c r="AM65" s="194">
        <f>'IN (mmol|L)'!P48</f>
        <v>38</v>
      </c>
      <c r="AN65" s="194">
        <f>'IN (mmol|L)'!Q48</f>
        <v>39</v>
      </c>
      <c r="AO65" s="195">
        <f>'IN (mmol|L)'!E71</f>
        <v>40</v>
      </c>
      <c r="AP65" s="195">
        <f>'IN (mmol|L)'!F71</f>
        <v>41</v>
      </c>
      <c r="AQ65" s="195">
        <f>'IN (mmol|L)'!G71</f>
        <v>42</v>
      </c>
      <c r="AR65" s="195">
        <f>'IN (mmol|L)'!H71</f>
        <v>43</v>
      </c>
      <c r="AS65" s="195">
        <f>'IN (mmol|L)'!I71</f>
        <v>44</v>
      </c>
      <c r="AT65" s="195">
        <f>'IN (mmol|L)'!J71</f>
        <v>45</v>
      </c>
      <c r="AU65" s="195">
        <f>'IN (mmol|L)'!K71</f>
        <v>46</v>
      </c>
      <c r="AV65" s="195">
        <f>'IN (mmol|L)'!L71</f>
        <v>47</v>
      </c>
      <c r="AW65" s="195">
        <f>'IN (mmol|L)'!M71</f>
        <v>48</v>
      </c>
      <c r="AX65" s="195">
        <f>'IN (mmol|L)'!N71</f>
        <v>49</v>
      </c>
      <c r="AY65" s="195">
        <f>'IN (mmol|L)'!O71</f>
        <v>50</v>
      </c>
      <c r="AZ65" s="195">
        <f>'IN (mmol|L)'!P71</f>
        <v>51</v>
      </c>
      <c r="BA65" s="248">
        <f>'IN (mmol|L)'!Q71</f>
        <v>52</v>
      </c>
      <c r="BE65" s="200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</row>
    <row r="66" spans="1:70">
      <c r="A66" s="3">
        <f>$A4</f>
        <v>0.29166666666666669</v>
      </c>
      <c r="B66" s="1150">
        <f>'IN (mmol|L)'!E4</f>
        <v>6.166666666666667</v>
      </c>
      <c r="C66" s="1150">
        <f>'IN (mmol|L)'!F4</f>
        <v>6.1111111111111107</v>
      </c>
      <c r="D66" s="1150">
        <f>'IN (mmol|L)'!G4</f>
        <v>6</v>
      </c>
      <c r="E66" s="1150">
        <f>'IN (mmol|L)'!H4</f>
        <v>6.2222222222222223</v>
      </c>
      <c r="F66" s="1150">
        <f>'IN (mmol|L)'!I4</f>
        <v>6</v>
      </c>
      <c r="G66" s="1150">
        <f>'IN (mmol|L)'!J4</f>
        <v>6.2777777777777777</v>
      </c>
      <c r="H66" s="1150">
        <f>'IN (mmol|L)'!K4</f>
        <v>6.2222222222222223</v>
      </c>
      <c r="I66" s="1150">
        <f>'IN (mmol|L)'!L4</f>
        <v>6.2</v>
      </c>
      <c r="J66" s="1150">
        <f>'IN (mmol|L)'!M4</f>
        <v>6.1</v>
      </c>
      <c r="K66" s="1150">
        <f>'IN (mmol|L)'!N4</f>
        <v>6</v>
      </c>
      <c r="L66" s="1150">
        <f>'IN (mmol|L)'!O4</f>
        <v>6.2</v>
      </c>
      <c r="M66" s="1150">
        <f>'IN (mmol|L)'!P4</f>
        <v>6</v>
      </c>
      <c r="N66" s="1150">
        <f>'IN (mmol|L)'!Q4</f>
        <v>6.2</v>
      </c>
      <c r="O66" s="1152">
        <f>'IN (mmol|L)'!E27</f>
        <v>6.2</v>
      </c>
      <c r="P66" s="1152">
        <f>'IN (mmol|L)'!F27</f>
        <v>5.9</v>
      </c>
      <c r="Q66" s="1152">
        <f>'IN (mmol|L)'!G27</f>
        <v>0</v>
      </c>
      <c r="R66" s="1152">
        <f>'IN (mmol|L)'!H27</f>
        <v>0</v>
      </c>
      <c r="S66" s="1152">
        <f>'IN (mmol|L)'!I27</f>
        <v>0</v>
      </c>
      <c r="T66" s="1152">
        <f>'IN (mmol|L)'!J27</f>
        <v>0</v>
      </c>
      <c r="U66" s="1152">
        <f>'IN (mmol|L)'!K27</f>
        <v>0</v>
      </c>
      <c r="V66" s="1152">
        <f>'IN (mmol|L)'!L27</f>
        <v>0</v>
      </c>
      <c r="W66" s="1152">
        <f>'IN (mmol|L)'!M27</f>
        <v>0</v>
      </c>
      <c r="X66" s="1152">
        <f>'IN (mmol|L)'!N27</f>
        <v>0</v>
      </c>
      <c r="Y66" s="1152">
        <f>'IN (mmol|L)'!O27</f>
        <v>0</v>
      </c>
      <c r="Z66" s="1152">
        <f>'IN (mmol|L)'!P27</f>
        <v>0</v>
      </c>
      <c r="AA66" s="1152">
        <f>'IN (mmol|L)'!Q27</f>
        <v>0</v>
      </c>
      <c r="AB66" s="1221">
        <f>'IN (mmol|L)'!E50</f>
        <v>0</v>
      </c>
      <c r="AC66" s="1221">
        <f>'IN (mmol|L)'!F50</f>
        <v>0</v>
      </c>
      <c r="AD66" s="1221">
        <f>'IN (mmol|L)'!G50</f>
        <v>0</v>
      </c>
      <c r="AE66" s="1221">
        <f>'IN (mmol|L)'!H50</f>
        <v>0</v>
      </c>
      <c r="AF66" s="1221">
        <f>'IN (mmol|L)'!I50</f>
        <v>0</v>
      </c>
      <c r="AG66" s="1221">
        <f>'IN (mmol|L)'!J50</f>
        <v>0</v>
      </c>
      <c r="AH66" s="1221">
        <f>'IN (mmol|L)'!K50</f>
        <v>0</v>
      </c>
      <c r="AI66" s="1221">
        <f>'IN (mmol|L)'!L50</f>
        <v>0</v>
      </c>
      <c r="AJ66" s="1221">
        <f>'IN (mmol|L)'!M50</f>
        <v>0</v>
      </c>
      <c r="AK66" s="1221">
        <f>'IN (mmol|L)'!N50</f>
        <v>0</v>
      </c>
      <c r="AL66" s="1221">
        <f>'IN (mmol|L)'!O50</f>
        <v>0</v>
      </c>
      <c r="AM66" s="1221">
        <f>'IN (mmol|L)'!P50</f>
        <v>0</v>
      </c>
      <c r="AN66" s="1221">
        <f>'IN (mmol|L)'!Q50</f>
        <v>0</v>
      </c>
      <c r="AO66" s="1158">
        <f>'IN (mmol|L)'!E73</f>
        <v>0</v>
      </c>
      <c r="AP66" s="1158">
        <f>'IN (mmol|L)'!F73</f>
        <v>0</v>
      </c>
      <c r="AQ66" s="1158">
        <f>'IN (mmol|L)'!G73</f>
        <v>0</v>
      </c>
      <c r="AR66" s="1158">
        <f>'IN (mmol|L)'!H73</f>
        <v>0</v>
      </c>
      <c r="AS66" s="1158">
        <f>'IN (mmol|L)'!I73</f>
        <v>0</v>
      </c>
      <c r="AT66" s="1158">
        <f>'IN (mmol|L)'!J73</f>
        <v>0</v>
      </c>
      <c r="AU66" s="1158">
        <f>'IN (mmol|L)'!K73</f>
        <v>0</v>
      </c>
      <c r="AV66" s="1158">
        <f>'IN (mmol|L)'!L73</f>
        <v>0</v>
      </c>
      <c r="AW66" s="1158">
        <f>'IN (mmol|L)'!M73</f>
        <v>0</v>
      </c>
      <c r="AX66" s="1158">
        <f>'IN (mmol|L)'!N73</f>
        <v>0</v>
      </c>
      <c r="AY66" s="1158">
        <f>'IN (mmol|L)'!O73</f>
        <v>0</v>
      </c>
      <c r="AZ66" s="1158">
        <f>'IN (mmol|L)'!P73</f>
        <v>0</v>
      </c>
      <c r="BA66" s="1222">
        <f>'IN (mmol|L)'!Q73</f>
        <v>0</v>
      </c>
      <c r="BE66" s="3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</row>
    <row r="67" spans="1:70">
      <c r="A67" s="3">
        <f t="shared" ref="A67:A74" si="30">$A5</f>
        <v>0.39583333333333331</v>
      </c>
      <c r="B67" s="1150">
        <f>'IN (mmol|L)'!E5</f>
        <v>8.2222222222222214</v>
      </c>
      <c r="C67" s="1150">
        <f>'IN (mmol|L)'!F5</f>
        <v>9.0555555555555554</v>
      </c>
      <c r="D67" s="1150">
        <f>'IN (mmol|L)'!G5</f>
        <v>10.388888888888889</v>
      </c>
      <c r="E67" s="1150">
        <f>'IN (mmol|L)'!H5</f>
        <v>10.333333333333334</v>
      </c>
      <c r="F67" s="1150">
        <f>'IN (mmol|L)'!I5</f>
        <v>10.555555555555555</v>
      </c>
      <c r="G67" s="1150">
        <f>'IN (mmol|L)'!J5</f>
        <v>12.111111111111111</v>
      </c>
      <c r="H67" s="1150">
        <f>'IN (mmol|L)'!K5</f>
        <v>9.8888888888888893</v>
      </c>
      <c r="I67" s="1150">
        <f>'IN (mmol|L)'!L5</f>
        <v>8.1999999999999993</v>
      </c>
      <c r="J67" s="1150">
        <f>'IN (mmol|L)'!M5</f>
        <v>9.1</v>
      </c>
      <c r="K67" s="1150">
        <f>'IN (mmol|L)'!N5</f>
        <v>0</v>
      </c>
      <c r="L67" s="1150">
        <f>'IN (mmol|L)'!O5</f>
        <v>10.3</v>
      </c>
      <c r="M67" s="1150">
        <f>'IN (mmol|L)'!P5</f>
        <v>10.5</v>
      </c>
      <c r="N67" s="1150">
        <f>'IN (mmol|L)'!Q5</f>
        <v>9.6</v>
      </c>
      <c r="O67" s="1152">
        <f>'IN (mmol|L)'!E28</f>
        <v>0</v>
      </c>
      <c r="P67" s="1152">
        <f>'IN (mmol|L)'!F28</f>
        <v>9.4</v>
      </c>
      <c r="Q67" s="1152">
        <f>'IN (mmol|L)'!G28</f>
        <v>0</v>
      </c>
      <c r="R67" s="1152">
        <f>'IN (mmol|L)'!H28</f>
        <v>0</v>
      </c>
      <c r="S67" s="1152">
        <f>'IN (mmol|L)'!I28</f>
        <v>0</v>
      </c>
      <c r="T67" s="1152">
        <f>'IN (mmol|L)'!J28</f>
        <v>0</v>
      </c>
      <c r="U67" s="1152">
        <f>'IN (mmol|L)'!K28</f>
        <v>0</v>
      </c>
      <c r="V67" s="1152">
        <f>'IN (mmol|L)'!L28</f>
        <v>0</v>
      </c>
      <c r="W67" s="1152">
        <f>'IN (mmol|L)'!M28</f>
        <v>0</v>
      </c>
      <c r="X67" s="1152">
        <f>'IN (mmol|L)'!N28</f>
        <v>0</v>
      </c>
      <c r="Y67" s="1152">
        <f>'IN (mmol|L)'!O28</f>
        <v>0</v>
      </c>
      <c r="Z67" s="1152">
        <f>'IN (mmol|L)'!P28</f>
        <v>0</v>
      </c>
      <c r="AA67" s="1152">
        <f>'IN (mmol|L)'!Q28</f>
        <v>0</v>
      </c>
      <c r="AB67" s="1221">
        <f>'IN (mmol|L)'!E51</f>
        <v>0</v>
      </c>
      <c r="AC67" s="1221">
        <f>'IN (mmol|L)'!F51</f>
        <v>0</v>
      </c>
      <c r="AD67" s="1221">
        <f>'IN (mmol|L)'!G51</f>
        <v>0</v>
      </c>
      <c r="AE67" s="1221">
        <f>'IN (mmol|L)'!H51</f>
        <v>0</v>
      </c>
      <c r="AF67" s="1221">
        <f>'IN (mmol|L)'!I51</f>
        <v>0</v>
      </c>
      <c r="AG67" s="1221">
        <f>'IN (mmol|L)'!J51</f>
        <v>0</v>
      </c>
      <c r="AH67" s="1221">
        <f>'IN (mmol|L)'!K51</f>
        <v>0</v>
      </c>
      <c r="AI67" s="1221">
        <f>'IN (mmol|L)'!L51</f>
        <v>0</v>
      </c>
      <c r="AJ67" s="1221">
        <f>'IN (mmol|L)'!M51</f>
        <v>0</v>
      </c>
      <c r="AK67" s="1221">
        <f>'IN (mmol|L)'!N51</f>
        <v>0</v>
      </c>
      <c r="AL67" s="1221">
        <f>'IN (mmol|L)'!O51</f>
        <v>0</v>
      </c>
      <c r="AM67" s="1221">
        <f>'IN (mmol|L)'!P51</f>
        <v>0</v>
      </c>
      <c r="AN67" s="1221">
        <f>'IN (mmol|L)'!Q51</f>
        <v>0</v>
      </c>
      <c r="AO67" s="1158">
        <f>'IN (mmol|L)'!E74</f>
        <v>0</v>
      </c>
      <c r="AP67" s="1158">
        <f>'IN (mmol|L)'!F74</f>
        <v>0</v>
      </c>
      <c r="AQ67" s="1158">
        <f>'IN (mmol|L)'!G74</f>
        <v>0</v>
      </c>
      <c r="AR67" s="1158">
        <f>'IN (mmol|L)'!H74</f>
        <v>0</v>
      </c>
      <c r="AS67" s="1158">
        <f>'IN (mmol|L)'!I74</f>
        <v>0</v>
      </c>
      <c r="AT67" s="1158">
        <f>'IN (mmol|L)'!J74</f>
        <v>0</v>
      </c>
      <c r="AU67" s="1158">
        <f>'IN (mmol|L)'!K74</f>
        <v>0</v>
      </c>
      <c r="AV67" s="1158">
        <f>'IN (mmol|L)'!L74</f>
        <v>0</v>
      </c>
      <c r="AW67" s="1158">
        <f>'IN (mmol|L)'!M74</f>
        <v>0</v>
      </c>
      <c r="AX67" s="1158">
        <f>'IN (mmol|L)'!N74</f>
        <v>0</v>
      </c>
      <c r="AY67" s="1158">
        <f>'IN (mmol|L)'!O74</f>
        <v>0</v>
      </c>
      <c r="AZ67" s="1158">
        <f>'IN (mmol|L)'!P74</f>
        <v>0</v>
      </c>
      <c r="BA67" s="1222">
        <f>'IN (mmol|L)'!Q74</f>
        <v>0</v>
      </c>
      <c r="BE67" s="3"/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</row>
    <row r="68" spans="1:70">
      <c r="A68" s="3">
        <f t="shared" si="30"/>
        <v>0.5</v>
      </c>
      <c r="B68" s="1150">
        <f>'IN (mmol|L)'!E6</f>
        <v>4.7777777777777777</v>
      </c>
      <c r="C68" s="1150">
        <f>'IN (mmol|L)'!F6</f>
        <v>6.7777777777777777</v>
      </c>
      <c r="D68" s="1150">
        <f>'IN (mmol|L)'!G6</f>
        <v>6.7777777777777777</v>
      </c>
      <c r="E68" s="1150">
        <f>'IN (mmol|L)'!H6</f>
        <v>8.7777777777777786</v>
      </c>
      <c r="F68" s="1150">
        <f>'IN (mmol|L)'!I6</f>
        <v>8.7222222222222214</v>
      </c>
      <c r="G68" s="1150">
        <f>'IN (mmol|L)'!J6</f>
        <v>8.0555555555555554</v>
      </c>
      <c r="H68" s="1150">
        <f>'IN (mmol|L)'!K6</f>
        <v>6.7777777777777777</v>
      </c>
      <c r="I68" s="1150">
        <f>'IN (mmol|L)'!L6</f>
        <v>4.8</v>
      </c>
      <c r="J68" s="1150">
        <f>'IN (mmol|L)'!M6</f>
        <v>6.8</v>
      </c>
      <c r="K68" s="1150">
        <f>'IN (mmol|L)'!N6</f>
        <v>10.3</v>
      </c>
      <c r="L68" s="1150">
        <f>'IN (mmol|L)'!O6</f>
        <v>8.1999999999999993</v>
      </c>
      <c r="M68" s="1150">
        <f>'IN (mmol|L)'!P6</f>
        <v>8.6999999999999993</v>
      </c>
      <c r="N68" s="1150">
        <f>'IN (mmol|L)'!Q6</f>
        <v>6</v>
      </c>
      <c r="O68" s="1152">
        <f>'IN (mmol|L)'!E29</f>
        <v>0</v>
      </c>
      <c r="P68" s="1152">
        <f>'IN (mmol|L)'!F29</f>
        <v>7.4</v>
      </c>
      <c r="Q68" s="1152">
        <f>'IN (mmol|L)'!G29</f>
        <v>0</v>
      </c>
      <c r="R68" s="1152">
        <f>'IN (mmol|L)'!H29</f>
        <v>0</v>
      </c>
      <c r="S68" s="1152">
        <f>'IN (mmol|L)'!I29</f>
        <v>0</v>
      </c>
      <c r="T68" s="1152">
        <f>'IN (mmol|L)'!J29</f>
        <v>0</v>
      </c>
      <c r="U68" s="1152">
        <f>'IN (mmol|L)'!K29</f>
        <v>0</v>
      </c>
      <c r="V68" s="1152">
        <f>'IN (mmol|L)'!L29</f>
        <v>0</v>
      </c>
      <c r="W68" s="1152">
        <f>'IN (mmol|L)'!M29</f>
        <v>0</v>
      </c>
      <c r="X68" s="1152">
        <f>'IN (mmol|L)'!N29</f>
        <v>0</v>
      </c>
      <c r="Y68" s="1152">
        <f>'IN (mmol|L)'!O29</f>
        <v>0</v>
      </c>
      <c r="Z68" s="1152">
        <f>'IN (mmol|L)'!P29</f>
        <v>0</v>
      </c>
      <c r="AA68" s="1152">
        <f>'IN (mmol|L)'!Q29</f>
        <v>0</v>
      </c>
      <c r="AB68" s="1221">
        <f>'IN (mmol|L)'!E52</f>
        <v>0</v>
      </c>
      <c r="AC68" s="1221">
        <f>'IN (mmol|L)'!F52</f>
        <v>0</v>
      </c>
      <c r="AD68" s="1221">
        <f>'IN (mmol|L)'!G52</f>
        <v>0</v>
      </c>
      <c r="AE68" s="1221">
        <f>'IN (mmol|L)'!H52</f>
        <v>0</v>
      </c>
      <c r="AF68" s="1221">
        <f>'IN (mmol|L)'!I52</f>
        <v>0</v>
      </c>
      <c r="AG68" s="1221">
        <f>'IN (mmol|L)'!J52</f>
        <v>0</v>
      </c>
      <c r="AH68" s="1221">
        <f>'IN (mmol|L)'!K52</f>
        <v>0</v>
      </c>
      <c r="AI68" s="1221">
        <f>'IN (mmol|L)'!L52</f>
        <v>0</v>
      </c>
      <c r="AJ68" s="1221">
        <f>'IN (mmol|L)'!M52</f>
        <v>0</v>
      </c>
      <c r="AK68" s="1221">
        <f>'IN (mmol|L)'!N52</f>
        <v>0</v>
      </c>
      <c r="AL68" s="1221">
        <f>'IN (mmol|L)'!O52</f>
        <v>0</v>
      </c>
      <c r="AM68" s="1221">
        <f>'IN (mmol|L)'!P52</f>
        <v>0</v>
      </c>
      <c r="AN68" s="1221">
        <f>'IN (mmol|L)'!Q52</f>
        <v>0</v>
      </c>
      <c r="AO68" s="1158">
        <f>'IN (mmol|L)'!E75</f>
        <v>0</v>
      </c>
      <c r="AP68" s="1158">
        <f>'IN (mmol|L)'!F75</f>
        <v>0</v>
      </c>
      <c r="AQ68" s="1158">
        <f>'IN (mmol|L)'!G75</f>
        <v>0</v>
      </c>
      <c r="AR68" s="1158">
        <f>'IN (mmol|L)'!H75</f>
        <v>0</v>
      </c>
      <c r="AS68" s="1158">
        <f>'IN (mmol|L)'!I75</f>
        <v>0</v>
      </c>
      <c r="AT68" s="1158">
        <f>'IN (mmol|L)'!J75</f>
        <v>0</v>
      </c>
      <c r="AU68" s="1158">
        <f>'IN (mmol|L)'!K75</f>
        <v>0</v>
      </c>
      <c r="AV68" s="1158">
        <f>'IN (mmol|L)'!L75</f>
        <v>0</v>
      </c>
      <c r="AW68" s="1158">
        <f>'IN (mmol|L)'!M75</f>
        <v>0</v>
      </c>
      <c r="AX68" s="1158">
        <f>'IN (mmol|L)'!N75</f>
        <v>0</v>
      </c>
      <c r="AY68" s="1158">
        <f>'IN (mmol|L)'!O75</f>
        <v>0</v>
      </c>
      <c r="AZ68" s="1158">
        <f>'IN (mmol|L)'!P75</f>
        <v>0</v>
      </c>
      <c r="BA68" s="1222">
        <f>'IN (mmol|L)'!Q75</f>
        <v>0</v>
      </c>
      <c r="BE68" s="3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</row>
    <row r="69" spans="1:70">
      <c r="A69" s="3">
        <f t="shared" si="30"/>
        <v>0.60416666666666663</v>
      </c>
      <c r="B69" s="1150">
        <f>'IN (mmol|L)'!E7</f>
        <v>10.611111111111111</v>
      </c>
      <c r="C69" s="1150">
        <f>'IN (mmol|L)'!F7</f>
        <v>6.2222222222222223</v>
      </c>
      <c r="D69" s="1150">
        <f>'IN (mmol|L)'!G7</f>
        <v>6.3888888888888893</v>
      </c>
      <c r="E69" s="1150">
        <f>'IN (mmol|L)'!H7</f>
        <v>5.3888888888888893</v>
      </c>
      <c r="F69" s="1150">
        <f>'IN (mmol|L)'!I7</f>
        <v>0</v>
      </c>
      <c r="G69" s="1150">
        <f>'IN (mmol|L)'!J7</f>
        <v>7.0555555555555554</v>
      </c>
      <c r="H69" s="1150">
        <f>'IN (mmol|L)'!K7</f>
        <v>8.7222222222222214</v>
      </c>
      <c r="I69" s="1150">
        <f>'IN (mmol|L)'!L7</f>
        <v>10.6</v>
      </c>
      <c r="J69" s="1150">
        <f>'IN (mmol|L)'!M7</f>
        <v>6.2</v>
      </c>
      <c r="K69" s="1150">
        <f>'IN (mmol|L)'!N7</f>
        <v>6.8</v>
      </c>
      <c r="L69" s="1150">
        <f>'IN (mmol|L)'!O7</f>
        <v>5.4</v>
      </c>
      <c r="M69" s="1150">
        <f>'IN (mmol|L)'!P7</f>
        <v>0</v>
      </c>
      <c r="N69" s="1150">
        <f>'IN (mmol|L)'!Q7</f>
        <v>4.5</v>
      </c>
      <c r="O69" s="1152">
        <f>'IN (mmol|L)'!E30</f>
        <v>0</v>
      </c>
      <c r="P69" s="1152">
        <f>'IN (mmol|L)'!F30</f>
        <v>6</v>
      </c>
      <c r="Q69" s="1152">
        <f>'IN (mmol|L)'!G30</f>
        <v>0</v>
      </c>
      <c r="R69" s="1152">
        <f>'IN (mmol|L)'!H30</f>
        <v>0</v>
      </c>
      <c r="S69" s="1152">
        <f>'IN (mmol|L)'!I30</f>
        <v>0</v>
      </c>
      <c r="T69" s="1152">
        <f>'IN (mmol|L)'!J30</f>
        <v>0</v>
      </c>
      <c r="U69" s="1152">
        <f>'IN (mmol|L)'!K30</f>
        <v>0</v>
      </c>
      <c r="V69" s="1152">
        <f>'IN (mmol|L)'!L30</f>
        <v>0</v>
      </c>
      <c r="W69" s="1152">
        <f>'IN (mmol|L)'!M30</f>
        <v>0</v>
      </c>
      <c r="X69" s="1152">
        <f>'IN (mmol|L)'!N30</f>
        <v>0</v>
      </c>
      <c r="Y69" s="1152">
        <f>'IN (mmol|L)'!O30</f>
        <v>0</v>
      </c>
      <c r="Z69" s="1152">
        <f>'IN (mmol|L)'!P30</f>
        <v>0</v>
      </c>
      <c r="AA69" s="1152">
        <f>'IN (mmol|L)'!Q30</f>
        <v>0</v>
      </c>
      <c r="AB69" s="1221">
        <f>'IN (mmol|L)'!E53</f>
        <v>0</v>
      </c>
      <c r="AC69" s="1221">
        <f>'IN (mmol|L)'!F53</f>
        <v>0</v>
      </c>
      <c r="AD69" s="1221">
        <f>'IN (mmol|L)'!G53</f>
        <v>0</v>
      </c>
      <c r="AE69" s="1221">
        <f>'IN (mmol|L)'!H53</f>
        <v>0</v>
      </c>
      <c r="AF69" s="1221">
        <f>'IN (mmol|L)'!I53</f>
        <v>0</v>
      </c>
      <c r="AG69" s="1221">
        <f>'IN (mmol|L)'!J53</f>
        <v>0</v>
      </c>
      <c r="AH69" s="1221">
        <f>'IN (mmol|L)'!K53</f>
        <v>0</v>
      </c>
      <c r="AI69" s="1221">
        <f>'IN (mmol|L)'!L53</f>
        <v>0</v>
      </c>
      <c r="AJ69" s="1221">
        <f>'IN (mmol|L)'!M53</f>
        <v>0</v>
      </c>
      <c r="AK69" s="1221">
        <f>'IN (mmol|L)'!N53</f>
        <v>0</v>
      </c>
      <c r="AL69" s="1221">
        <f>'IN (mmol|L)'!O53</f>
        <v>0</v>
      </c>
      <c r="AM69" s="1221">
        <f>'IN (mmol|L)'!P53</f>
        <v>0</v>
      </c>
      <c r="AN69" s="1221">
        <f>'IN (mmol|L)'!Q53</f>
        <v>0</v>
      </c>
      <c r="AO69" s="1158">
        <f>'IN (mmol|L)'!E76</f>
        <v>0</v>
      </c>
      <c r="AP69" s="1158">
        <f>'IN (mmol|L)'!F76</f>
        <v>0</v>
      </c>
      <c r="AQ69" s="1158">
        <f>'IN (mmol|L)'!G76</f>
        <v>0</v>
      </c>
      <c r="AR69" s="1158">
        <f>'IN (mmol|L)'!H76</f>
        <v>0</v>
      </c>
      <c r="AS69" s="1158">
        <f>'IN (mmol|L)'!I76</f>
        <v>0</v>
      </c>
      <c r="AT69" s="1158">
        <f>'IN (mmol|L)'!J76</f>
        <v>0</v>
      </c>
      <c r="AU69" s="1158">
        <f>'IN (mmol|L)'!K76</f>
        <v>0</v>
      </c>
      <c r="AV69" s="1158">
        <f>'IN (mmol|L)'!L76</f>
        <v>0</v>
      </c>
      <c r="AW69" s="1158">
        <f>'IN (mmol|L)'!M76</f>
        <v>0</v>
      </c>
      <c r="AX69" s="1158">
        <f>'IN (mmol|L)'!N76</f>
        <v>0</v>
      </c>
      <c r="AY69" s="1158">
        <f>'IN (mmol|L)'!O76</f>
        <v>0</v>
      </c>
      <c r="AZ69" s="1158">
        <f>'IN (mmol|L)'!P76</f>
        <v>0</v>
      </c>
      <c r="BA69" s="1222">
        <f>'IN (mmol|L)'!Q76</f>
        <v>0</v>
      </c>
      <c r="BE69" s="3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</row>
    <row r="70" spans="1:70">
      <c r="A70" s="3">
        <f t="shared" si="30"/>
        <v>0.72916666666666663</v>
      </c>
      <c r="B70" s="1150">
        <f>'IN (mmol|L)'!E8</f>
        <v>6.9444444444444446</v>
      </c>
      <c r="C70" s="1150">
        <f>'IN (mmol|L)'!F8</f>
        <v>8.2777777777777786</v>
      </c>
      <c r="D70" s="1150">
        <f>'IN (mmol|L)'!G8</f>
        <v>7.0555555555555554</v>
      </c>
      <c r="E70" s="1150">
        <f>'IN (mmol|L)'!H8</f>
        <v>5</v>
      </c>
      <c r="F70" s="1150">
        <f>'IN (mmol|L)'!I8</f>
        <v>9.1666666666666661</v>
      </c>
      <c r="G70" s="1150">
        <f>'IN (mmol|L)'!J8</f>
        <v>6</v>
      </c>
      <c r="H70" s="1150">
        <f>'IN (mmol|L)'!K8</f>
        <v>9.1666666666666661</v>
      </c>
      <c r="I70" s="1150">
        <f>'IN (mmol|L)'!L8</f>
        <v>6.9</v>
      </c>
      <c r="J70" s="1150">
        <f>'IN (mmol|L)'!M8</f>
        <v>8.1999999999999993</v>
      </c>
      <c r="K70" s="1150">
        <f>'IN (mmol|L)'!N8</f>
        <v>6.4</v>
      </c>
      <c r="L70" s="1150">
        <f>'IN (mmol|L)'!O8</f>
        <v>5</v>
      </c>
      <c r="M70" s="1150">
        <f>'IN (mmol|L)'!P8</f>
        <v>9.1999999999999993</v>
      </c>
      <c r="N70" s="1150">
        <f>'IN (mmol|L)'!Q8</f>
        <v>4.9000000000000004</v>
      </c>
      <c r="O70" s="1152">
        <f>'IN (mmol|L)'!E31</f>
        <v>6.8</v>
      </c>
      <c r="P70" s="1152">
        <f>'IN (mmol|L)'!F31</f>
        <v>8.1999999999999993</v>
      </c>
      <c r="Q70" s="1152">
        <f>'IN (mmol|L)'!G31</f>
        <v>0</v>
      </c>
      <c r="R70" s="1152">
        <f>'IN (mmol|L)'!H31</f>
        <v>0</v>
      </c>
      <c r="S70" s="1152">
        <f>'IN (mmol|L)'!I31</f>
        <v>0</v>
      </c>
      <c r="T70" s="1152">
        <f>'IN (mmol|L)'!J31</f>
        <v>0</v>
      </c>
      <c r="U70" s="1152">
        <f>'IN (mmol|L)'!K31</f>
        <v>0</v>
      </c>
      <c r="V70" s="1152">
        <f>'IN (mmol|L)'!L31</f>
        <v>0</v>
      </c>
      <c r="W70" s="1152">
        <f>'IN (mmol|L)'!M31</f>
        <v>0</v>
      </c>
      <c r="X70" s="1152">
        <f>'IN (mmol|L)'!N31</f>
        <v>0</v>
      </c>
      <c r="Y70" s="1152">
        <f>'IN (mmol|L)'!O31</f>
        <v>0</v>
      </c>
      <c r="Z70" s="1152">
        <f>'IN (mmol|L)'!P31</f>
        <v>0</v>
      </c>
      <c r="AA70" s="1152">
        <f>'IN (mmol|L)'!Q31</f>
        <v>0</v>
      </c>
      <c r="AB70" s="1221">
        <f>'IN (mmol|L)'!E54</f>
        <v>0</v>
      </c>
      <c r="AC70" s="1221">
        <f>'IN (mmol|L)'!F54</f>
        <v>0</v>
      </c>
      <c r="AD70" s="1221">
        <f>'IN (mmol|L)'!G54</f>
        <v>0</v>
      </c>
      <c r="AE70" s="1221">
        <f>'IN (mmol|L)'!H54</f>
        <v>0</v>
      </c>
      <c r="AF70" s="1221">
        <f>'IN (mmol|L)'!I54</f>
        <v>0</v>
      </c>
      <c r="AG70" s="1221">
        <f>'IN (mmol|L)'!J54</f>
        <v>0</v>
      </c>
      <c r="AH70" s="1221">
        <f>'IN (mmol|L)'!K54</f>
        <v>0</v>
      </c>
      <c r="AI70" s="1221">
        <f>'IN (mmol|L)'!L54</f>
        <v>0</v>
      </c>
      <c r="AJ70" s="1221">
        <f>'IN (mmol|L)'!M54</f>
        <v>0</v>
      </c>
      <c r="AK70" s="1221">
        <f>'IN (mmol|L)'!N54</f>
        <v>0</v>
      </c>
      <c r="AL70" s="1221">
        <f>'IN (mmol|L)'!O54</f>
        <v>0</v>
      </c>
      <c r="AM70" s="1221">
        <f>'IN (mmol|L)'!P54</f>
        <v>0</v>
      </c>
      <c r="AN70" s="1221">
        <f>'IN (mmol|L)'!Q54</f>
        <v>0</v>
      </c>
      <c r="AO70" s="1158">
        <f>'IN (mmol|L)'!E77</f>
        <v>0</v>
      </c>
      <c r="AP70" s="1158">
        <f>'IN (mmol|L)'!F77</f>
        <v>0</v>
      </c>
      <c r="AQ70" s="1158">
        <f>'IN (mmol|L)'!G77</f>
        <v>0</v>
      </c>
      <c r="AR70" s="1158">
        <f>'IN (mmol|L)'!H77</f>
        <v>0</v>
      </c>
      <c r="AS70" s="1158">
        <f>'IN (mmol|L)'!I77</f>
        <v>0</v>
      </c>
      <c r="AT70" s="1158">
        <f>'IN (mmol|L)'!J77</f>
        <v>0</v>
      </c>
      <c r="AU70" s="1158">
        <f>'IN (mmol|L)'!K77</f>
        <v>0</v>
      </c>
      <c r="AV70" s="1158">
        <f>'IN (mmol|L)'!L77</f>
        <v>0</v>
      </c>
      <c r="AW70" s="1158">
        <f>'IN (mmol|L)'!M77</f>
        <v>0</v>
      </c>
      <c r="AX70" s="1158">
        <f>'IN (mmol|L)'!N77</f>
        <v>0</v>
      </c>
      <c r="AY70" s="1158">
        <f>'IN (mmol|L)'!O77</f>
        <v>0</v>
      </c>
      <c r="AZ70" s="1158">
        <f>'IN (mmol|L)'!P77</f>
        <v>0</v>
      </c>
      <c r="BA70" s="1222">
        <f>'IN (mmol|L)'!Q77</f>
        <v>0</v>
      </c>
      <c r="BE70" s="3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</row>
    <row r="71" spans="1:70">
      <c r="A71" s="3">
        <f t="shared" si="30"/>
        <v>0.83333333333333337</v>
      </c>
      <c r="B71" s="1150">
        <f>'IN (mmol|L)'!E9</f>
        <v>7.7222222222222223</v>
      </c>
      <c r="C71" s="1150">
        <f>'IN (mmol|L)'!F9</f>
        <v>10.722222222222221</v>
      </c>
      <c r="D71" s="1150">
        <f>'IN (mmol|L)'!G9</f>
        <v>0</v>
      </c>
      <c r="E71" s="1150">
        <f>'IN (mmol|L)'!H9</f>
        <v>11.944444444444445</v>
      </c>
      <c r="F71" s="1150">
        <f>'IN (mmol|L)'!I9</f>
        <v>10.666666666666666</v>
      </c>
      <c r="G71" s="1150">
        <f>'IN (mmol|L)'!J9</f>
        <v>5.9444444444444446</v>
      </c>
      <c r="H71" s="1150">
        <f>'IN (mmol|L)'!K9</f>
        <v>10.722222222222221</v>
      </c>
      <c r="I71" s="1150">
        <f>'IN (mmol|L)'!L9</f>
        <v>7.7</v>
      </c>
      <c r="J71" s="1150">
        <f>'IN (mmol|L)'!M9</f>
        <v>10.7</v>
      </c>
      <c r="K71" s="1150">
        <f>'IN (mmol|L)'!N9</f>
        <v>7</v>
      </c>
      <c r="L71" s="1150">
        <f>'IN (mmol|L)'!O9</f>
        <v>11.9</v>
      </c>
      <c r="M71" s="1150">
        <f>'IN (mmol|L)'!P9</f>
        <v>10.8</v>
      </c>
      <c r="N71" s="1150">
        <f>'IN (mmol|L)'!Q9</f>
        <v>5.2</v>
      </c>
      <c r="O71" s="1152">
        <f>'IN (mmol|L)'!E32</f>
        <v>5.2</v>
      </c>
      <c r="P71" s="1152">
        <f>'IN (mmol|L)'!F32</f>
        <v>8.6999999999999993</v>
      </c>
      <c r="Q71" s="1152">
        <f>'IN (mmol|L)'!G32</f>
        <v>0</v>
      </c>
      <c r="R71" s="1152">
        <f>'IN (mmol|L)'!H32</f>
        <v>0</v>
      </c>
      <c r="S71" s="1152">
        <f>'IN (mmol|L)'!I32</f>
        <v>0</v>
      </c>
      <c r="T71" s="1152">
        <f>'IN (mmol|L)'!J32</f>
        <v>0</v>
      </c>
      <c r="U71" s="1152">
        <f>'IN (mmol|L)'!K32</f>
        <v>0</v>
      </c>
      <c r="V71" s="1152">
        <f>'IN (mmol|L)'!L32</f>
        <v>0</v>
      </c>
      <c r="W71" s="1152">
        <f>'IN (mmol|L)'!M32</f>
        <v>0</v>
      </c>
      <c r="X71" s="1152">
        <f>'IN (mmol|L)'!N32</f>
        <v>0</v>
      </c>
      <c r="Y71" s="1152">
        <f>'IN (mmol|L)'!O32</f>
        <v>0</v>
      </c>
      <c r="Z71" s="1152">
        <f>'IN (mmol|L)'!P32</f>
        <v>0</v>
      </c>
      <c r="AA71" s="1152">
        <f>'IN (mmol|L)'!Q32</f>
        <v>0</v>
      </c>
      <c r="AB71" s="1221">
        <f>'IN (mmol|L)'!E55</f>
        <v>0</v>
      </c>
      <c r="AC71" s="1221">
        <f>'IN (mmol|L)'!F55</f>
        <v>0</v>
      </c>
      <c r="AD71" s="1221">
        <f>'IN (mmol|L)'!G55</f>
        <v>0</v>
      </c>
      <c r="AE71" s="1221">
        <f>'IN (mmol|L)'!H55</f>
        <v>0</v>
      </c>
      <c r="AF71" s="1221">
        <f>'IN (mmol|L)'!I55</f>
        <v>0</v>
      </c>
      <c r="AG71" s="1221">
        <f>'IN (mmol|L)'!J55</f>
        <v>0</v>
      </c>
      <c r="AH71" s="1221">
        <f>'IN (mmol|L)'!K55</f>
        <v>0</v>
      </c>
      <c r="AI71" s="1221">
        <f>'IN (mmol|L)'!L55</f>
        <v>0</v>
      </c>
      <c r="AJ71" s="1221">
        <f>'IN (mmol|L)'!M55</f>
        <v>0</v>
      </c>
      <c r="AK71" s="1221">
        <f>'IN (mmol|L)'!N55</f>
        <v>0</v>
      </c>
      <c r="AL71" s="1221">
        <f>'IN (mmol|L)'!O55</f>
        <v>0</v>
      </c>
      <c r="AM71" s="1221">
        <f>'IN (mmol|L)'!P55</f>
        <v>0</v>
      </c>
      <c r="AN71" s="1221">
        <f>'IN (mmol|L)'!Q55</f>
        <v>0</v>
      </c>
      <c r="AO71" s="1158">
        <f>'IN (mmol|L)'!E78</f>
        <v>0</v>
      </c>
      <c r="AP71" s="1158">
        <f>'IN (mmol|L)'!F78</f>
        <v>0</v>
      </c>
      <c r="AQ71" s="1158">
        <f>'IN (mmol|L)'!G78</f>
        <v>0</v>
      </c>
      <c r="AR71" s="1158">
        <f>'IN (mmol|L)'!H78</f>
        <v>0</v>
      </c>
      <c r="AS71" s="1158">
        <f>'IN (mmol|L)'!I78</f>
        <v>0</v>
      </c>
      <c r="AT71" s="1158">
        <f>'IN (mmol|L)'!J78</f>
        <v>0</v>
      </c>
      <c r="AU71" s="1158">
        <f>'IN (mmol|L)'!K78</f>
        <v>0</v>
      </c>
      <c r="AV71" s="1158">
        <f>'IN (mmol|L)'!L78</f>
        <v>0</v>
      </c>
      <c r="AW71" s="1158">
        <f>'IN (mmol|L)'!M78</f>
        <v>0</v>
      </c>
      <c r="AX71" s="1158">
        <f>'IN (mmol|L)'!N78</f>
        <v>0</v>
      </c>
      <c r="AY71" s="1158">
        <f>'IN (mmol|L)'!O78</f>
        <v>0</v>
      </c>
      <c r="AZ71" s="1158">
        <f>'IN (mmol|L)'!P78</f>
        <v>0</v>
      </c>
      <c r="BA71" s="1222">
        <f>'IN (mmol|L)'!Q78</f>
        <v>0</v>
      </c>
      <c r="BE71" s="3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</row>
    <row r="72" spans="1:70">
      <c r="A72" s="3">
        <f t="shared" si="30"/>
        <v>0.95833333333333337</v>
      </c>
      <c r="B72" s="1150">
        <f>'IN (mmol|L)'!E10</f>
        <v>7.3888888888888893</v>
      </c>
      <c r="C72" s="1150">
        <f>'IN (mmol|L)'!F10</f>
        <v>9</v>
      </c>
      <c r="D72" s="1150">
        <f>'IN (mmol|L)'!G10</f>
        <v>7.5555555555555554</v>
      </c>
      <c r="E72" s="1150">
        <f>'IN (mmol|L)'!H10</f>
        <v>5.2777777777777777</v>
      </c>
      <c r="F72" s="1150">
        <f>'IN (mmol|L)'!I10</f>
        <v>9.7222222222222214</v>
      </c>
      <c r="G72" s="1150">
        <f>'IN (mmol|L)'!J10</f>
        <v>10</v>
      </c>
      <c r="H72" s="1150">
        <f>'IN (mmol|L)'!K10</f>
        <v>7.2222222222222223</v>
      </c>
      <c r="I72" s="1150">
        <f>'IN (mmol|L)'!L10</f>
        <v>7.4</v>
      </c>
      <c r="J72" s="1150">
        <f>'IN (mmol|L)'!M10</f>
        <v>9</v>
      </c>
      <c r="K72" s="1150">
        <f>'IN (mmol|L)'!N10</f>
        <v>7.6</v>
      </c>
      <c r="L72" s="1150">
        <f>'IN (mmol|L)'!O10</f>
        <v>5.3</v>
      </c>
      <c r="M72" s="1150">
        <f>'IN (mmol|L)'!P10</f>
        <v>9.6999999999999993</v>
      </c>
      <c r="N72" s="1150">
        <f>'IN (mmol|L)'!Q10</f>
        <v>0</v>
      </c>
      <c r="O72" s="1152">
        <f>'IN (mmol|L)'!E33</f>
        <v>5.3</v>
      </c>
      <c r="P72" s="1152">
        <f>'IN (mmol|L)'!F33</f>
        <v>7.9</v>
      </c>
      <c r="Q72" s="1152">
        <f>'IN (mmol|L)'!G33</f>
        <v>0</v>
      </c>
      <c r="R72" s="1152">
        <f>'IN (mmol|L)'!H33</f>
        <v>0</v>
      </c>
      <c r="S72" s="1152">
        <f>'IN (mmol|L)'!I33</f>
        <v>0</v>
      </c>
      <c r="T72" s="1152">
        <f>'IN (mmol|L)'!J33</f>
        <v>0</v>
      </c>
      <c r="U72" s="1152">
        <f>'IN (mmol|L)'!K33</f>
        <v>0</v>
      </c>
      <c r="V72" s="1152">
        <f>'IN (mmol|L)'!L33</f>
        <v>0</v>
      </c>
      <c r="W72" s="1152">
        <f>'IN (mmol|L)'!M33</f>
        <v>0</v>
      </c>
      <c r="X72" s="1152">
        <f>'IN (mmol|L)'!N33</f>
        <v>0</v>
      </c>
      <c r="Y72" s="1152">
        <f>'IN (mmol|L)'!O33</f>
        <v>0</v>
      </c>
      <c r="Z72" s="1152">
        <f>'IN (mmol|L)'!P33</f>
        <v>0</v>
      </c>
      <c r="AA72" s="1152">
        <f>'IN (mmol|L)'!Q33</f>
        <v>0</v>
      </c>
      <c r="AB72" s="1221">
        <f>'IN (mmol|L)'!E56</f>
        <v>0</v>
      </c>
      <c r="AC72" s="1221">
        <f>'IN (mmol|L)'!F56</f>
        <v>0</v>
      </c>
      <c r="AD72" s="1221">
        <f>'IN (mmol|L)'!G56</f>
        <v>0</v>
      </c>
      <c r="AE72" s="1221">
        <f>'IN (mmol|L)'!H56</f>
        <v>0</v>
      </c>
      <c r="AF72" s="1221">
        <f>'IN (mmol|L)'!I56</f>
        <v>0</v>
      </c>
      <c r="AG72" s="1221">
        <f>'IN (mmol|L)'!J56</f>
        <v>0</v>
      </c>
      <c r="AH72" s="1221">
        <f>'IN (mmol|L)'!K56</f>
        <v>0</v>
      </c>
      <c r="AI72" s="1221">
        <f>'IN (mmol|L)'!L56</f>
        <v>0</v>
      </c>
      <c r="AJ72" s="1221">
        <f>'IN (mmol|L)'!M56</f>
        <v>0</v>
      </c>
      <c r="AK72" s="1221">
        <f>'IN (mmol|L)'!N56</f>
        <v>0</v>
      </c>
      <c r="AL72" s="1221">
        <f>'IN (mmol|L)'!O56</f>
        <v>0</v>
      </c>
      <c r="AM72" s="1221">
        <f>'IN (mmol|L)'!P56</f>
        <v>0</v>
      </c>
      <c r="AN72" s="1221">
        <f>'IN (mmol|L)'!Q56</f>
        <v>0</v>
      </c>
      <c r="AO72" s="1158">
        <f>'IN (mmol|L)'!E79</f>
        <v>0</v>
      </c>
      <c r="AP72" s="1158">
        <f>'IN (mmol|L)'!F79</f>
        <v>0</v>
      </c>
      <c r="AQ72" s="1158">
        <f>'IN (mmol|L)'!G79</f>
        <v>0</v>
      </c>
      <c r="AR72" s="1158">
        <f>'IN (mmol|L)'!H79</f>
        <v>0</v>
      </c>
      <c r="AS72" s="1158">
        <f>'IN (mmol|L)'!I79</f>
        <v>0</v>
      </c>
      <c r="AT72" s="1158">
        <f>'IN (mmol|L)'!J79</f>
        <v>0</v>
      </c>
      <c r="AU72" s="1158">
        <f>'IN (mmol|L)'!K79</f>
        <v>0</v>
      </c>
      <c r="AV72" s="1158">
        <f>'IN (mmol|L)'!L79</f>
        <v>0</v>
      </c>
      <c r="AW72" s="1158">
        <f>'IN (mmol|L)'!M79</f>
        <v>0</v>
      </c>
      <c r="AX72" s="1158">
        <f>'IN (mmol|L)'!N79</f>
        <v>0</v>
      </c>
      <c r="AY72" s="1158">
        <f>'IN (mmol|L)'!O79</f>
        <v>0</v>
      </c>
      <c r="AZ72" s="1158">
        <f>'IN (mmol|L)'!P79</f>
        <v>0</v>
      </c>
      <c r="BA72" s="1222">
        <f>'IN (mmol|L)'!Q79</f>
        <v>0</v>
      </c>
      <c r="BE72" s="3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</row>
    <row r="73" spans="1:70">
      <c r="A73" s="3" t="str">
        <f t="shared" si="30"/>
        <v>Nacht</v>
      </c>
      <c r="B73" s="1150">
        <f>'IN (mmol|L)'!E11</f>
        <v>5.8888888888888893</v>
      </c>
      <c r="C73" s="1150">
        <f>'IN (mmol|L)'!F11</f>
        <v>5.666666666666667</v>
      </c>
      <c r="D73" s="1150">
        <f>'IN (mmol|L)'!G11</f>
        <v>6.5</v>
      </c>
      <c r="E73" s="1150">
        <f>'IN (mmol|L)'!H11</f>
        <v>6.5555555555555554</v>
      </c>
      <c r="F73" s="1150">
        <f>'IN (mmol|L)'!I11</f>
        <v>6.5</v>
      </c>
      <c r="G73" s="1150">
        <f>'IN (mmol|L)'!J11</f>
        <v>5.2777777777777777</v>
      </c>
      <c r="H73" s="1150">
        <f>'IN (mmol|L)'!K11</f>
        <v>5.5555555555555554</v>
      </c>
      <c r="I73" s="1150">
        <f>'IN (mmol|L)'!L11</f>
        <v>5.9</v>
      </c>
      <c r="J73" s="1150">
        <f>'IN (mmol|L)'!M11</f>
        <v>5.8</v>
      </c>
      <c r="K73" s="1150">
        <f>'IN (mmol|L)'!N11</f>
        <v>6.5</v>
      </c>
      <c r="L73" s="1150">
        <f>'IN (mmol|L)'!O11</f>
        <v>6.6</v>
      </c>
      <c r="M73" s="1150">
        <f>'IN (mmol|L)'!P11</f>
        <v>6.5</v>
      </c>
      <c r="N73" s="1150">
        <f>'IN (mmol|L)'!Q11</f>
        <v>0</v>
      </c>
      <c r="O73" s="1152">
        <f>'IN (mmol|L)'!E34</f>
        <v>5.8</v>
      </c>
      <c r="P73" s="1152">
        <f>'IN (mmol|L)'!F34</f>
        <v>6.1</v>
      </c>
      <c r="Q73" s="1152">
        <f>'IN (mmol|L)'!G34</f>
        <v>0</v>
      </c>
      <c r="R73" s="1152">
        <f>'IN (mmol|L)'!H34</f>
        <v>0</v>
      </c>
      <c r="S73" s="1152">
        <f>'IN (mmol|L)'!I34</f>
        <v>0</v>
      </c>
      <c r="T73" s="1152">
        <f>'IN (mmol|L)'!J34</f>
        <v>0</v>
      </c>
      <c r="U73" s="1152">
        <f>'IN (mmol|L)'!K34</f>
        <v>0</v>
      </c>
      <c r="V73" s="1152">
        <f>'IN (mmol|L)'!L34</f>
        <v>0</v>
      </c>
      <c r="W73" s="1152">
        <f>'IN (mmol|L)'!M34</f>
        <v>0</v>
      </c>
      <c r="X73" s="1152">
        <f>'IN (mmol|L)'!N34</f>
        <v>0</v>
      </c>
      <c r="Y73" s="1152">
        <f>'IN (mmol|L)'!O34</f>
        <v>0</v>
      </c>
      <c r="Z73" s="1152">
        <f>'IN (mmol|L)'!P34</f>
        <v>0</v>
      </c>
      <c r="AA73" s="1152">
        <f>'IN (mmol|L)'!Q34</f>
        <v>0</v>
      </c>
      <c r="AB73" s="1221">
        <f>'IN (mmol|L)'!E57</f>
        <v>0</v>
      </c>
      <c r="AC73" s="1221">
        <f>'IN (mmol|L)'!F57</f>
        <v>0</v>
      </c>
      <c r="AD73" s="1221">
        <f>'IN (mmol|L)'!G57</f>
        <v>0</v>
      </c>
      <c r="AE73" s="1221">
        <f>'IN (mmol|L)'!H57</f>
        <v>0</v>
      </c>
      <c r="AF73" s="1221">
        <f>'IN (mmol|L)'!I57</f>
        <v>0</v>
      </c>
      <c r="AG73" s="1221">
        <f>'IN (mmol|L)'!J57</f>
        <v>0</v>
      </c>
      <c r="AH73" s="1221">
        <f>'IN (mmol|L)'!K57</f>
        <v>0</v>
      </c>
      <c r="AI73" s="1221">
        <f>'IN (mmol|L)'!L57</f>
        <v>0</v>
      </c>
      <c r="AJ73" s="1221">
        <f>'IN (mmol|L)'!M57</f>
        <v>0</v>
      </c>
      <c r="AK73" s="1221">
        <f>'IN (mmol|L)'!N57</f>
        <v>0</v>
      </c>
      <c r="AL73" s="1221">
        <f>'IN (mmol|L)'!O57</f>
        <v>0</v>
      </c>
      <c r="AM73" s="1221">
        <f>'IN (mmol|L)'!P57</f>
        <v>0</v>
      </c>
      <c r="AN73" s="1221">
        <f>'IN (mmol|L)'!Q57</f>
        <v>0</v>
      </c>
      <c r="AO73" s="1158">
        <f>'IN (mmol|L)'!E80</f>
        <v>0</v>
      </c>
      <c r="AP73" s="1158">
        <f>'IN (mmol|L)'!F80</f>
        <v>0</v>
      </c>
      <c r="AQ73" s="1158">
        <f>'IN (mmol|L)'!G80</f>
        <v>0</v>
      </c>
      <c r="AR73" s="1158">
        <f>'IN (mmol|L)'!H80</f>
        <v>0</v>
      </c>
      <c r="AS73" s="1158">
        <f>'IN (mmol|L)'!I80</f>
        <v>0</v>
      </c>
      <c r="AT73" s="1158">
        <f>'IN (mmol|L)'!J80</f>
        <v>0</v>
      </c>
      <c r="AU73" s="1158">
        <f>'IN (mmol|L)'!K80</f>
        <v>0</v>
      </c>
      <c r="AV73" s="1158">
        <f>'IN (mmol|L)'!L80</f>
        <v>0</v>
      </c>
      <c r="AW73" s="1158">
        <f>'IN (mmol|L)'!M80</f>
        <v>0</v>
      </c>
      <c r="AX73" s="1158">
        <f>'IN (mmol|L)'!N80</f>
        <v>0</v>
      </c>
      <c r="AY73" s="1158">
        <f>'IN (mmol|L)'!O80</f>
        <v>0</v>
      </c>
      <c r="AZ73" s="1158">
        <f>'IN (mmol|L)'!P80</f>
        <v>0</v>
      </c>
      <c r="BA73" s="1222">
        <f>'IN (mmol|L)'!Q80</f>
        <v>0</v>
      </c>
      <c r="BE73" s="3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</row>
    <row r="74" spans="1:70">
      <c r="A74" s="3" t="str">
        <f t="shared" si="30"/>
        <v>Früh</v>
      </c>
      <c r="B74" s="1150">
        <f>'IN (mmol|L)'!E12</f>
        <v>6.166666666666667</v>
      </c>
      <c r="C74" s="1150">
        <f>'IN (mmol|L)'!F12</f>
        <v>6.1111111111111107</v>
      </c>
      <c r="D74" s="1150">
        <f>'IN (mmol|L)'!G12</f>
        <v>6</v>
      </c>
      <c r="E74" s="1150">
        <f>'IN (mmol|L)'!H12</f>
        <v>6.2222222222222223</v>
      </c>
      <c r="F74" s="1150">
        <f>'IN (mmol|L)'!I12</f>
        <v>6</v>
      </c>
      <c r="G74" s="1150">
        <f>'IN (mmol|L)'!J12</f>
        <v>6.2777777777777777</v>
      </c>
      <c r="H74" s="1150">
        <f>'IN (mmol|L)'!K12</f>
        <v>6.2222222222222223</v>
      </c>
      <c r="I74" s="1150">
        <f>'IN (mmol|L)'!L12</f>
        <v>0</v>
      </c>
      <c r="J74" s="1150">
        <f>'IN (mmol|L)'!M12</f>
        <v>0</v>
      </c>
      <c r="K74" s="1150">
        <f>'IN (mmol|L)'!N12</f>
        <v>6</v>
      </c>
      <c r="L74" s="1150">
        <f>'IN (mmol|L)'!O12</f>
        <v>6.2</v>
      </c>
      <c r="M74" s="1150">
        <f>'IN (mmol|L)'!P12</f>
        <v>0</v>
      </c>
      <c r="N74" s="1150">
        <f>'IN (mmol|L)'!Q12</f>
        <v>0</v>
      </c>
      <c r="O74" s="1152">
        <f>'IN (mmol|L)'!E35</f>
        <v>6.2</v>
      </c>
      <c r="P74" s="1152">
        <f>'IN (mmol|L)'!F35</f>
        <v>6.3</v>
      </c>
      <c r="Q74" s="1152">
        <f>'IN (mmol|L)'!G35</f>
        <v>0</v>
      </c>
      <c r="R74" s="1152">
        <f>'IN (mmol|L)'!H35</f>
        <v>0</v>
      </c>
      <c r="S74" s="1152">
        <f>'IN (mmol|L)'!I35</f>
        <v>0</v>
      </c>
      <c r="T74" s="1152">
        <f>'IN (mmol|L)'!J35</f>
        <v>0</v>
      </c>
      <c r="U74" s="1152">
        <f>'IN (mmol|L)'!K35</f>
        <v>0</v>
      </c>
      <c r="V74" s="1152">
        <f>'IN (mmol|L)'!L35</f>
        <v>0</v>
      </c>
      <c r="W74" s="1152">
        <f>'IN (mmol|L)'!M35</f>
        <v>0</v>
      </c>
      <c r="X74" s="1152">
        <f>'IN (mmol|L)'!N35</f>
        <v>0</v>
      </c>
      <c r="Y74" s="1152">
        <f>'IN (mmol|L)'!O35</f>
        <v>0</v>
      </c>
      <c r="Z74" s="1152">
        <f>'IN (mmol|L)'!P35</f>
        <v>0</v>
      </c>
      <c r="AA74" s="1152">
        <f>'IN (mmol|L)'!Q35</f>
        <v>0</v>
      </c>
      <c r="AB74" s="1221">
        <f>'IN (mmol|L)'!E58</f>
        <v>0</v>
      </c>
      <c r="AC74" s="1221">
        <f>'IN (mmol|L)'!F58</f>
        <v>0</v>
      </c>
      <c r="AD74" s="1221">
        <f>'IN (mmol|L)'!G58</f>
        <v>0</v>
      </c>
      <c r="AE74" s="1221">
        <f>'IN (mmol|L)'!H58</f>
        <v>0</v>
      </c>
      <c r="AF74" s="1221">
        <f>'IN (mmol|L)'!I58</f>
        <v>0</v>
      </c>
      <c r="AG74" s="1221">
        <f>'IN (mmol|L)'!J58</f>
        <v>0</v>
      </c>
      <c r="AH74" s="1221">
        <f>'IN (mmol|L)'!K58</f>
        <v>0</v>
      </c>
      <c r="AI74" s="1221">
        <f>'IN (mmol|L)'!L58</f>
        <v>0</v>
      </c>
      <c r="AJ74" s="1221">
        <f>'IN (mmol|L)'!M58</f>
        <v>0</v>
      </c>
      <c r="AK74" s="1221">
        <f>'IN (mmol|L)'!N58</f>
        <v>0</v>
      </c>
      <c r="AL74" s="1221">
        <f>'IN (mmol|L)'!O58</f>
        <v>0</v>
      </c>
      <c r="AM74" s="1221">
        <f>'IN (mmol|L)'!P58</f>
        <v>0</v>
      </c>
      <c r="AN74" s="1221">
        <f>'IN (mmol|L)'!Q58</f>
        <v>0</v>
      </c>
      <c r="AO74" s="1158">
        <f>'IN (mmol|L)'!E81</f>
        <v>0</v>
      </c>
      <c r="AP74" s="1158">
        <f>'IN (mmol|L)'!F81</f>
        <v>0</v>
      </c>
      <c r="AQ74" s="1158">
        <f>'IN (mmol|L)'!G81</f>
        <v>0</v>
      </c>
      <c r="AR74" s="1158">
        <f>'IN (mmol|L)'!H81</f>
        <v>0</v>
      </c>
      <c r="AS74" s="1158">
        <f>'IN (mmol|L)'!I81</f>
        <v>0</v>
      </c>
      <c r="AT74" s="1158">
        <f>'IN (mmol|L)'!J81</f>
        <v>0</v>
      </c>
      <c r="AU74" s="1158">
        <f>'IN (mmol|L)'!K81</f>
        <v>0</v>
      </c>
      <c r="AV74" s="1158">
        <f>'IN (mmol|L)'!L81</f>
        <v>0</v>
      </c>
      <c r="AW74" s="1158">
        <f>'IN (mmol|L)'!M81</f>
        <v>0</v>
      </c>
      <c r="AX74" s="1158">
        <f>'IN (mmol|L)'!N81</f>
        <v>0</v>
      </c>
      <c r="AY74" s="1158">
        <f>'IN (mmol|L)'!O81</f>
        <v>0</v>
      </c>
      <c r="AZ74" s="1158">
        <f>'IN (mmol|L)'!P81</f>
        <v>0</v>
      </c>
      <c r="BA74" s="1222">
        <f>'IN (mmol|L)'!Q81</f>
        <v>0</v>
      </c>
      <c r="BE74" s="3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</row>
    <row r="75" spans="1:70">
      <c r="A75" s="200" t="s">
        <v>10</v>
      </c>
      <c r="B75" s="1223">
        <f t="shared" ref="B75:AG75" si="31">B66-B74</f>
        <v>0</v>
      </c>
      <c r="C75" s="1224">
        <f t="shared" si="31"/>
        <v>0</v>
      </c>
      <c r="D75" s="1224">
        <f t="shared" si="31"/>
        <v>0</v>
      </c>
      <c r="E75" s="1224">
        <f t="shared" si="31"/>
        <v>0</v>
      </c>
      <c r="F75" s="1224">
        <f t="shared" si="31"/>
        <v>0</v>
      </c>
      <c r="G75" s="1224">
        <f t="shared" si="31"/>
        <v>0</v>
      </c>
      <c r="H75" s="1224">
        <f t="shared" si="31"/>
        <v>0</v>
      </c>
      <c r="I75" s="1224">
        <f t="shared" si="31"/>
        <v>6.2</v>
      </c>
      <c r="J75" s="1224">
        <f t="shared" si="31"/>
        <v>6.1</v>
      </c>
      <c r="K75" s="1224">
        <f t="shared" si="31"/>
        <v>0</v>
      </c>
      <c r="L75" s="1224">
        <f t="shared" si="31"/>
        <v>0</v>
      </c>
      <c r="M75" s="1224">
        <f t="shared" si="31"/>
        <v>6</v>
      </c>
      <c r="N75" s="1224">
        <f t="shared" si="31"/>
        <v>6.2</v>
      </c>
      <c r="O75" s="1225">
        <f t="shared" si="31"/>
        <v>0</v>
      </c>
      <c r="P75" s="1226">
        <f t="shared" si="31"/>
        <v>-0.39999999999999947</v>
      </c>
      <c r="Q75" s="1226">
        <f t="shared" si="31"/>
        <v>0</v>
      </c>
      <c r="R75" s="1226">
        <f t="shared" si="31"/>
        <v>0</v>
      </c>
      <c r="S75" s="1226">
        <f t="shared" si="31"/>
        <v>0</v>
      </c>
      <c r="T75" s="1226">
        <f t="shared" si="31"/>
        <v>0</v>
      </c>
      <c r="U75" s="1226">
        <f t="shared" si="31"/>
        <v>0</v>
      </c>
      <c r="V75" s="1226">
        <f t="shared" si="31"/>
        <v>0</v>
      </c>
      <c r="W75" s="1226">
        <f t="shared" si="31"/>
        <v>0</v>
      </c>
      <c r="X75" s="1226">
        <f t="shared" si="31"/>
        <v>0</v>
      </c>
      <c r="Y75" s="1226">
        <f t="shared" si="31"/>
        <v>0</v>
      </c>
      <c r="Z75" s="1226">
        <f t="shared" si="31"/>
        <v>0</v>
      </c>
      <c r="AA75" s="1227">
        <f t="shared" si="31"/>
        <v>0</v>
      </c>
      <c r="AB75" s="1226">
        <f t="shared" si="31"/>
        <v>0</v>
      </c>
      <c r="AC75" s="1226">
        <f t="shared" si="31"/>
        <v>0</v>
      </c>
      <c r="AD75" s="1226">
        <f t="shared" si="31"/>
        <v>0</v>
      </c>
      <c r="AE75" s="1226">
        <f t="shared" si="31"/>
        <v>0</v>
      </c>
      <c r="AF75" s="1226">
        <f t="shared" si="31"/>
        <v>0</v>
      </c>
      <c r="AG75" s="1226">
        <f t="shared" si="31"/>
        <v>0</v>
      </c>
      <c r="AH75" s="1226">
        <f t="shared" ref="AH75:BA75" si="32">AH66-AH74</f>
        <v>0</v>
      </c>
      <c r="AI75" s="1226">
        <f t="shared" si="32"/>
        <v>0</v>
      </c>
      <c r="AJ75" s="1226">
        <f t="shared" si="32"/>
        <v>0</v>
      </c>
      <c r="AK75" s="1226">
        <f t="shared" si="32"/>
        <v>0</v>
      </c>
      <c r="AL75" s="1226">
        <f t="shared" si="32"/>
        <v>0</v>
      </c>
      <c r="AM75" s="1226">
        <f t="shared" si="32"/>
        <v>0</v>
      </c>
      <c r="AN75" s="1227">
        <f t="shared" si="32"/>
        <v>0</v>
      </c>
      <c r="AO75" s="1225">
        <f t="shared" si="32"/>
        <v>0</v>
      </c>
      <c r="AP75" s="1226">
        <f t="shared" si="32"/>
        <v>0</v>
      </c>
      <c r="AQ75" s="1226">
        <f t="shared" si="32"/>
        <v>0</v>
      </c>
      <c r="AR75" s="1226">
        <f t="shared" si="32"/>
        <v>0</v>
      </c>
      <c r="AS75" s="1226">
        <f t="shared" si="32"/>
        <v>0</v>
      </c>
      <c r="AT75" s="1226">
        <f t="shared" si="32"/>
        <v>0</v>
      </c>
      <c r="AU75" s="1226">
        <f t="shared" si="32"/>
        <v>0</v>
      </c>
      <c r="AV75" s="1226">
        <f t="shared" si="32"/>
        <v>0</v>
      </c>
      <c r="AW75" s="1226">
        <f t="shared" si="32"/>
        <v>0</v>
      </c>
      <c r="AX75" s="1226">
        <f t="shared" si="32"/>
        <v>0</v>
      </c>
      <c r="AY75" s="1226">
        <f t="shared" si="32"/>
        <v>0</v>
      </c>
      <c r="AZ75" s="1226">
        <f t="shared" si="32"/>
        <v>0</v>
      </c>
      <c r="BA75" s="1227">
        <f t="shared" si="32"/>
        <v>0</v>
      </c>
      <c r="BE75" s="200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</row>
    <row r="76" spans="1:70" ht="14" thickBot="1"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</row>
    <row r="77" spans="1:70">
      <c r="A77" s="285" t="s">
        <v>46</v>
      </c>
      <c r="B77" s="271"/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27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</row>
    <row r="78" spans="1:70">
      <c r="A78" s="277"/>
      <c r="B78" s="216" t="s">
        <v>192</v>
      </c>
      <c r="C78" s="216" t="s">
        <v>191</v>
      </c>
      <c r="D78" s="216" t="s">
        <v>190</v>
      </c>
      <c r="E78" s="216" t="s">
        <v>189</v>
      </c>
      <c r="F78" s="216" t="s">
        <v>188</v>
      </c>
      <c r="G78" s="216" t="s">
        <v>187</v>
      </c>
      <c r="H78" s="216" t="s">
        <v>186</v>
      </c>
      <c r="I78" s="216" t="s">
        <v>184</v>
      </c>
      <c r="J78" s="216" t="s">
        <v>183</v>
      </c>
      <c r="K78" s="216" t="s">
        <v>185</v>
      </c>
      <c r="L78" s="286" t="s">
        <v>173</v>
      </c>
      <c r="M78" s="291" t="s">
        <v>38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S78" s="393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</row>
    <row r="79" spans="1:70">
      <c r="A79" s="279">
        <f>$A4</f>
        <v>0.29166666666666669</v>
      </c>
      <c r="B79" s="197">
        <f>COUNTIF($B66:$BA66,"&gt;0")-SUM(C79:$L79)</f>
        <v>0</v>
      </c>
      <c r="C79" s="197">
        <f>COUNTIF($B66:$BA66,"&gt;0,5")-SUM($D79:$L79)</f>
        <v>0</v>
      </c>
      <c r="D79" s="197">
        <f>COUNTIF($B66:$BA66,"&gt;2,0")-SUM(E79:L79)</f>
        <v>0</v>
      </c>
      <c r="E79" s="197">
        <f>COUNTIF($B66:$BA66,"&gt;3,5")-SUM(F79:L79)</f>
        <v>0</v>
      </c>
      <c r="F79" s="197">
        <f>COUNTIF($B66:$BA66,"&gt;5,0")-SUM(G79:L79)</f>
        <v>15</v>
      </c>
      <c r="G79" s="197">
        <f>COUNTIF($B66:$BA66,"&gt;6,5")-SUM(H79:L79)</f>
        <v>0</v>
      </c>
      <c r="H79" s="197">
        <f>COUNTIF($B66:$BA66,"&gt;8,0")-SUM(I79:L79)</f>
        <v>0</v>
      </c>
      <c r="I79" s="197">
        <f>COUNTIF($B66:$BA66,"&gt;9,5")-SUM(J79:L79)</f>
        <v>0</v>
      </c>
      <c r="J79" s="197">
        <f>COUNTIF($B66:$BA66,"&gt;11,0")-SUM(K79:L79)</f>
        <v>0</v>
      </c>
      <c r="K79" s="197">
        <f>COUNTIF($B66:$BA66,"&gt;12,5")-L79</f>
        <v>0</v>
      </c>
      <c r="L79" s="287">
        <f>COUNTIF($B66:$BA66,"&gt;14")</f>
        <v>0</v>
      </c>
      <c r="M79" s="292">
        <f>SUM(B79:L79)</f>
        <v>15</v>
      </c>
      <c r="N79" s="6"/>
      <c r="O79" s="262"/>
      <c r="P79" s="262"/>
      <c r="Q79" s="262"/>
      <c r="R79" s="262"/>
      <c r="S79" s="262"/>
      <c r="T79" s="262"/>
      <c r="U79" s="262"/>
      <c r="V79" s="262"/>
      <c r="W79" s="262"/>
      <c r="X79" s="262"/>
      <c r="Y79" s="262"/>
      <c r="Z79" s="262"/>
      <c r="AS79" s="34"/>
      <c r="AT79" s="394"/>
      <c r="AU79" s="394"/>
      <c r="AV79" s="394"/>
      <c r="AW79" s="394"/>
      <c r="AX79" s="394"/>
      <c r="AY79" s="394"/>
      <c r="AZ79" s="394"/>
      <c r="BA79" s="394"/>
      <c r="BB79" s="394"/>
      <c r="BC79" s="394"/>
      <c r="BD79" s="394"/>
      <c r="BE79" s="34"/>
    </row>
    <row r="80" spans="1:70">
      <c r="A80" s="279">
        <f t="shared" ref="A80:A84" si="33">$A5</f>
        <v>0.39583333333333331</v>
      </c>
      <c r="B80" s="201">
        <f>COUNTIF($B67:$BA67,"&gt;0")-SUM(C80:$L80)</f>
        <v>0</v>
      </c>
      <c r="C80" s="201">
        <f>COUNTIF($B67:$BA67,"&gt;0,5")-SUM($D80:$L80)</f>
        <v>0</v>
      </c>
      <c r="D80" s="201">
        <f>COUNTIF($B67:$BA67,"&gt;2,0")-SUM(E80:L80)</f>
        <v>0</v>
      </c>
      <c r="E80" s="201">
        <f>COUNTIF($B67:$BA67,"&gt;3,5")-SUM(F80:L80)</f>
        <v>0</v>
      </c>
      <c r="F80" s="201">
        <f>COUNTIF($B67:$BA67,"&gt;5,0")-SUM(G80:L80)</f>
        <v>0</v>
      </c>
      <c r="G80" s="201">
        <f>COUNTIF($B67:$BA67,"&gt;6,5")-SUM(H80:L80)</f>
        <v>0</v>
      </c>
      <c r="H80" s="201">
        <f>COUNTIF($B67:$BA67,"&gt;8,0")-SUM(I80:L80)</f>
        <v>5</v>
      </c>
      <c r="I80" s="201">
        <f>COUNTIF($B67:$BA67,"&gt;9,5")-SUM(J80:L80)</f>
        <v>7</v>
      </c>
      <c r="J80" s="201">
        <f>COUNTIF($B67:$BA67,"&gt;11,0")-SUM(K80:L80)</f>
        <v>1</v>
      </c>
      <c r="K80" s="201">
        <f>COUNTIF($B67:$BA67,"&gt;12,5")-L80</f>
        <v>0</v>
      </c>
      <c r="L80" s="288">
        <f>COUNTIF($B67:$BA67,"&gt;14")</f>
        <v>0</v>
      </c>
      <c r="M80" s="293">
        <f>SUM(B80:L80)</f>
        <v>13</v>
      </c>
      <c r="N80" s="411"/>
      <c r="O80" s="412"/>
      <c r="P80" s="261"/>
      <c r="Q80" s="260"/>
      <c r="R80" s="260"/>
      <c r="S80" s="261"/>
      <c r="T80" s="261"/>
      <c r="U80" s="261"/>
      <c r="V80" s="262"/>
      <c r="W80" s="262"/>
      <c r="X80" s="262"/>
      <c r="Y80" s="262"/>
      <c r="Z80" s="262"/>
      <c r="AS80" s="47"/>
      <c r="AT80" s="395"/>
      <c r="AU80" s="395"/>
      <c r="AV80" s="395"/>
      <c r="AW80" s="395"/>
      <c r="AX80" s="395"/>
      <c r="AY80" s="395"/>
      <c r="AZ80" s="395"/>
      <c r="BA80" s="395"/>
      <c r="BB80" s="395"/>
      <c r="BC80" s="395"/>
      <c r="BD80" s="395"/>
      <c r="BE80" s="34"/>
    </row>
    <row r="81" spans="1:57">
      <c r="A81" s="279">
        <f t="shared" si="33"/>
        <v>0.5</v>
      </c>
      <c r="B81" s="201">
        <f>COUNTIF($B68:$BA68,"&gt;0")-SUM(C81:$L81)</f>
        <v>0</v>
      </c>
      <c r="C81" s="201">
        <f t="shared" ref="C81:C87" si="34">COUNTIF($B68:$BA68,"&gt;0,5")-SUM($D81:$L81)</f>
        <v>0</v>
      </c>
      <c r="D81" s="201">
        <f t="shared" ref="D81:D87" si="35">COUNTIF($B68:$BA68,"&gt;2,0")-SUM(E81:L81)</f>
        <v>0</v>
      </c>
      <c r="E81" s="201">
        <f t="shared" ref="E81:E87" si="36">COUNTIF($B68:$BA68,"&gt;3,5")-SUM(F81:L81)</f>
        <v>2</v>
      </c>
      <c r="F81" s="201">
        <f t="shared" ref="F81:F87" si="37">COUNTIF($B68:$BA68,"&gt;5,0")-SUM(G81:L81)</f>
        <v>1</v>
      </c>
      <c r="G81" s="201">
        <f t="shared" ref="G81:G87" si="38">COUNTIF($B68:$BA68,"&gt;6,5")-SUM(H81:L81)</f>
        <v>5</v>
      </c>
      <c r="H81" s="201">
        <f t="shared" ref="H81:H87" si="39">COUNTIF($B68:$BA68,"&gt;8,0")-SUM(I81:L81)</f>
        <v>5</v>
      </c>
      <c r="I81" s="201">
        <f t="shared" ref="I81:I87" si="40">COUNTIF($B68:$BA68,"&gt;9,5")-SUM(J81:L81)</f>
        <v>1</v>
      </c>
      <c r="J81" s="201">
        <f t="shared" ref="J81:J87" si="41">COUNTIF($B68:$BA68,"&gt;11,0")-SUM(K81:L81)</f>
        <v>0</v>
      </c>
      <c r="K81" s="201">
        <f t="shared" ref="K81:K87" si="42">COUNTIF($B68:$BA68,"&gt;12,5")-L81</f>
        <v>0</v>
      </c>
      <c r="L81" s="288">
        <f t="shared" ref="L81:L87" si="43">COUNTIF($B68:$BA68,"&gt;14")</f>
        <v>0</v>
      </c>
      <c r="M81" s="293">
        <f t="shared" ref="M81:M87" si="44">SUM(B81:L81)</f>
        <v>14</v>
      </c>
      <c r="N81" s="411"/>
      <c r="O81" s="261"/>
      <c r="P81" s="261"/>
      <c r="Q81" s="261"/>
      <c r="R81" s="260"/>
      <c r="S81" s="260"/>
      <c r="T81" s="261"/>
      <c r="U81" s="261"/>
      <c r="V81" s="262"/>
      <c r="W81" s="262"/>
      <c r="X81" s="262"/>
      <c r="Y81" s="262"/>
      <c r="Z81" s="262"/>
      <c r="AS81" s="47"/>
      <c r="AT81" s="396"/>
      <c r="AU81" s="396"/>
      <c r="AV81" s="396"/>
      <c r="AW81" s="396"/>
      <c r="AX81" s="396"/>
      <c r="AY81" s="396"/>
      <c r="AZ81" s="396"/>
      <c r="BA81" s="396"/>
      <c r="BB81" s="396"/>
      <c r="BC81" s="396"/>
      <c r="BD81" s="396"/>
      <c r="BE81" s="34"/>
    </row>
    <row r="82" spans="1:57">
      <c r="A82" s="279">
        <f t="shared" si="33"/>
        <v>0.60416666666666663</v>
      </c>
      <c r="B82" s="201">
        <f>COUNTIF($B69:$BA69,"&gt;0")-SUM(C82:$L82)</f>
        <v>0</v>
      </c>
      <c r="C82" s="201">
        <f t="shared" si="34"/>
        <v>0</v>
      </c>
      <c r="D82" s="201">
        <f t="shared" si="35"/>
        <v>0</v>
      </c>
      <c r="E82" s="201">
        <f t="shared" si="36"/>
        <v>1</v>
      </c>
      <c r="F82" s="201">
        <f t="shared" si="37"/>
        <v>6</v>
      </c>
      <c r="G82" s="201">
        <f t="shared" si="38"/>
        <v>2</v>
      </c>
      <c r="H82" s="201">
        <f t="shared" si="39"/>
        <v>1</v>
      </c>
      <c r="I82" s="201">
        <f t="shared" si="40"/>
        <v>2</v>
      </c>
      <c r="J82" s="201">
        <f t="shared" si="41"/>
        <v>0</v>
      </c>
      <c r="K82" s="201">
        <f t="shared" si="42"/>
        <v>0</v>
      </c>
      <c r="L82" s="288">
        <f t="shared" si="43"/>
        <v>0</v>
      </c>
      <c r="M82" s="293">
        <f t="shared" si="44"/>
        <v>12</v>
      </c>
      <c r="N82" s="411"/>
      <c r="O82" s="261"/>
      <c r="P82" s="413"/>
      <c r="Q82" s="261"/>
      <c r="R82" s="261"/>
      <c r="S82" s="260"/>
      <c r="T82" s="260"/>
      <c r="U82" s="261"/>
      <c r="V82" s="262"/>
      <c r="W82" s="262"/>
      <c r="X82" s="262"/>
      <c r="Y82" s="262"/>
      <c r="Z82" s="262"/>
      <c r="AS82" s="47"/>
      <c r="AT82" s="396"/>
      <c r="AU82" s="396"/>
      <c r="AV82" s="396"/>
      <c r="AW82" s="396"/>
      <c r="AX82" s="396"/>
      <c r="AY82" s="396"/>
      <c r="AZ82" s="396"/>
      <c r="BA82" s="396"/>
      <c r="BB82" s="396"/>
      <c r="BC82" s="396"/>
      <c r="BD82" s="396"/>
      <c r="BE82" s="34"/>
    </row>
    <row r="83" spans="1:57">
      <c r="A83" s="279">
        <f t="shared" si="33"/>
        <v>0.72916666666666663</v>
      </c>
      <c r="B83" s="201">
        <f>COUNTIF($B70:$BA70,"&gt;0")-SUM(C83:$L83)</f>
        <v>0</v>
      </c>
      <c r="C83" s="201">
        <f t="shared" si="34"/>
        <v>0</v>
      </c>
      <c r="D83" s="201">
        <f t="shared" si="35"/>
        <v>0</v>
      </c>
      <c r="E83" s="201">
        <f t="shared" si="36"/>
        <v>3</v>
      </c>
      <c r="F83" s="201">
        <f t="shared" si="37"/>
        <v>2</v>
      </c>
      <c r="G83" s="201">
        <f t="shared" si="38"/>
        <v>4</v>
      </c>
      <c r="H83" s="201">
        <f t="shared" si="39"/>
        <v>6</v>
      </c>
      <c r="I83" s="201">
        <f t="shared" si="40"/>
        <v>0</v>
      </c>
      <c r="J83" s="201">
        <f t="shared" si="41"/>
        <v>0</v>
      </c>
      <c r="K83" s="201">
        <f t="shared" si="42"/>
        <v>0</v>
      </c>
      <c r="L83" s="288">
        <f t="shared" si="43"/>
        <v>0</v>
      </c>
      <c r="M83" s="293">
        <f t="shared" si="44"/>
        <v>15</v>
      </c>
      <c r="N83" s="411"/>
      <c r="O83" s="261"/>
      <c r="P83" s="413"/>
      <c r="Q83" s="413"/>
      <c r="R83" s="261"/>
      <c r="S83" s="261"/>
      <c r="T83" s="260"/>
      <c r="U83" s="260"/>
      <c r="V83" s="262"/>
      <c r="W83" s="262"/>
      <c r="X83" s="262"/>
      <c r="Y83" s="262"/>
      <c r="Z83" s="262"/>
      <c r="AS83" s="47"/>
      <c r="AT83" s="396"/>
      <c r="AU83" s="396"/>
      <c r="AV83" s="396"/>
      <c r="AW83" s="396"/>
      <c r="AX83" s="396"/>
      <c r="AY83" s="396"/>
      <c r="AZ83" s="396"/>
      <c r="BA83" s="396"/>
      <c r="BB83" s="396"/>
      <c r="BC83" s="396"/>
      <c r="BD83" s="396"/>
      <c r="BE83" s="34"/>
    </row>
    <row r="84" spans="1:57">
      <c r="A84" s="279">
        <f t="shared" si="33"/>
        <v>0.83333333333333337</v>
      </c>
      <c r="B84" s="201">
        <f>COUNTIF($B71:$BA71,"&gt;0")-SUM(C84:$L84)</f>
        <v>0</v>
      </c>
      <c r="C84" s="201">
        <f t="shared" si="34"/>
        <v>0</v>
      </c>
      <c r="D84" s="201">
        <f t="shared" si="35"/>
        <v>0</v>
      </c>
      <c r="E84" s="201">
        <f t="shared" si="36"/>
        <v>0</v>
      </c>
      <c r="F84" s="201">
        <f t="shared" si="37"/>
        <v>3</v>
      </c>
      <c r="G84" s="201">
        <f t="shared" si="38"/>
        <v>3</v>
      </c>
      <c r="H84" s="201">
        <f t="shared" si="39"/>
        <v>1</v>
      </c>
      <c r="I84" s="201">
        <f t="shared" si="40"/>
        <v>5</v>
      </c>
      <c r="J84" s="201">
        <f t="shared" si="41"/>
        <v>2</v>
      </c>
      <c r="K84" s="201">
        <f t="shared" si="42"/>
        <v>0</v>
      </c>
      <c r="L84" s="288">
        <f t="shared" si="43"/>
        <v>0</v>
      </c>
      <c r="M84" s="293">
        <f t="shared" si="44"/>
        <v>14</v>
      </c>
      <c r="N84" s="411"/>
      <c r="O84" s="261"/>
      <c r="P84" s="261"/>
      <c r="Q84" s="413"/>
      <c r="R84" s="261"/>
      <c r="S84" s="261"/>
      <c r="T84" s="261"/>
      <c r="U84" s="260"/>
      <c r="V84" s="260"/>
      <c r="W84" s="262"/>
      <c r="X84" s="262"/>
      <c r="Y84" s="262"/>
      <c r="Z84" s="262"/>
      <c r="AS84" s="47"/>
      <c r="AT84" s="396"/>
      <c r="AU84" s="396"/>
      <c r="AV84" s="396"/>
      <c r="AW84" s="396"/>
      <c r="AX84" s="396"/>
      <c r="AY84" s="396"/>
      <c r="AZ84" s="396"/>
      <c r="BA84" s="396"/>
      <c r="BB84" s="396"/>
      <c r="BC84" s="396"/>
      <c r="BD84" s="396"/>
      <c r="BE84" s="34"/>
    </row>
    <row r="85" spans="1:57">
      <c r="A85" s="279">
        <f>$A10</f>
        <v>0.95833333333333337</v>
      </c>
      <c r="B85" s="201">
        <f>COUNTIF($B72:$BA72,"&gt;0")-SUM(C85:$L85)</f>
        <v>0</v>
      </c>
      <c r="C85" s="201">
        <f t="shared" si="34"/>
        <v>0</v>
      </c>
      <c r="D85" s="201">
        <f t="shared" si="35"/>
        <v>0</v>
      </c>
      <c r="E85" s="201">
        <f t="shared" si="36"/>
        <v>0</v>
      </c>
      <c r="F85" s="201">
        <f t="shared" si="37"/>
        <v>3</v>
      </c>
      <c r="G85" s="201">
        <f t="shared" si="38"/>
        <v>6</v>
      </c>
      <c r="H85" s="201">
        <f t="shared" si="39"/>
        <v>2</v>
      </c>
      <c r="I85" s="201">
        <f t="shared" si="40"/>
        <v>3</v>
      </c>
      <c r="J85" s="201">
        <f t="shared" si="41"/>
        <v>0</v>
      </c>
      <c r="K85" s="201">
        <f t="shared" si="42"/>
        <v>0</v>
      </c>
      <c r="L85" s="288">
        <f t="shared" si="43"/>
        <v>0</v>
      </c>
      <c r="M85" s="293">
        <f t="shared" si="44"/>
        <v>14</v>
      </c>
      <c r="N85" s="414"/>
      <c r="O85" s="415"/>
      <c r="P85" s="415"/>
      <c r="Q85" s="416"/>
      <c r="R85" s="416"/>
      <c r="S85" s="415"/>
      <c r="T85" s="415"/>
      <c r="U85" s="261"/>
      <c r="V85" s="260"/>
      <c r="W85" s="260"/>
      <c r="X85" s="262"/>
      <c r="Y85" s="262"/>
      <c r="Z85" s="262"/>
      <c r="AS85" s="47"/>
      <c r="AT85" s="396"/>
      <c r="AU85" s="396"/>
      <c r="AV85" s="396"/>
      <c r="AW85" s="396"/>
      <c r="AX85" s="396"/>
      <c r="AY85" s="396"/>
      <c r="AZ85" s="396"/>
      <c r="BA85" s="396"/>
      <c r="BB85" s="396"/>
      <c r="BC85" s="396"/>
      <c r="BD85" s="396"/>
      <c r="BE85" s="34"/>
    </row>
    <row r="86" spans="1:57">
      <c r="A86" s="279" t="str">
        <f t="shared" ref="A86:A87" si="45">$A11</f>
        <v>Nacht</v>
      </c>
      <c r="B86" s="201">
        <f>COUNTIF($B73:$BA73,"&gt;0")-SUM(C86:$L86)</f>
        <v>0</v>
      </c>
      <c r="C86" s="201">
        <f t="shared" si="34"/>
        <v>0</v>
      </c>
      <c r="D86" s="201">
        <f t="shared" si="35"/>
        <v>0</v>
      </c>
      <c r="E86" s="201">
        <f t="shared" si="36"/>
        <v>0</v>
      </c>
      <c r="F86" s="201">
        <f t="shared" si="37"/>
        <v>12</v>
      </c>
      <c r="G86" s="201">
        <f t="shared" si="38"/>
        <v>2</v>
      </c>
      <c r="H86" s="201">
        <f t="shared" si="39"/>
        <v>0</v>
      </c>
      <c r="I86" s="201">
        <f t="shared" si="40"/>
        <v>0</v>
      </c>
      <c r="J86" s="201">
        <f t="shared" si="41"/>
        <v>0</v>
      </c>
      <c r="K86" s="201">
        <f t="shared" si="42"/>
        <v>0</v>
      </c>
      <c r="L86" s="288">
        <f t="shared" si="43"/>
        <v>0</v>
      </c>
      <c r="M86" s="293">
        <f t="shared" si="44"/>
        <v>14</v>
      </c>
      <c r="N86" s="417"/>
      <c r="O86" s="418"/>
      <c r="P86" s="418"/>
      <c r="Q86" s="418"/>
      <c r="R86" s="418"/>
      <c r="S86" s="418"/>
      <c r="T86" s="418"/>
      <c r="U86" s="418"/>
      <c r="V86" s="261"/>
      <c r="W86" s="263"/>
      <c r="X86" s="263"/>
      <c r="Y86" s="262"/>
      <c r="Z86" s="262"/>
      <c r="AS86" s="47"/>
      <c r="AT86" s="396"/>
      <c r="AU86" s="396"/>
      <c r="AV86" s="396"/>
      <c r="AW86" s="396"/>
      <c r="AX86" s="396"/>
      <c r="AY86" s="396"/>
      <c r="AZ86" s="396"/>
      <c r="BA86" s="396"/>
      <c r="BB86" s="396"/>
      <c r="BC86" s="396"/>
      <c r="BD86" s="396"/>
      <c r="BE86" s="34"/>
    </row>
    <row r="87" spans="1:57">
      <c r="A87" s="279" t="str">
        <f t="shared" si="45"/>
        <v>Früh</v>
      </c>
      <c r="B87" s="198">
        <f>COUNTIF($B74:$BA74,"&gt;0")-SUM(C87:$L87)</f>
        <v>0</v>
      </c>
      <c r="C87" s="198">
        <f t="shared" si="34"/>
        <v>0</v>
      </c>
      <c r="D87" s="198">
        <f t="shared" si="35"/>
        <v>0</v>
      </c>
      <c r="E87" s="198">
        <f t="shared" si="36"/>
        <v>0</v>
      </c>
      <c r="F87" s="198">
        <f t="shared" si="37"/>
        <v>11</v>
      </c>
      <c r="G87" s="198">
        <f t="shared" si="38"/>
        <v>0</v>
      </c>
      <c r="H87" s="198">
        <f t="shared" si="39"/>
        <v>0</v>
      </c>
      <c r="I87" s="198">
        <f t="shared" si="40"/>
        <v>0</v>
      </c>
      <c r="J87" s="198">
        <f t="shared" si="41"/>
        <v>0</v>
      </c>
      <c r="K87" s="198">
        <f t="shared" si="42"/>
        <v>0</v>
      </c>
      <c r="L87" s="289">
        <f t="shared" si="43"/>
        <v>0</v>
      </c>
      <c r="M87" s="294">
        <f t="shared" si="44"/>
        <v>11</v>
      </c>
      <c r="N87" s="411"/>
      <c r="O87" s="261"/>
      <c r="P87" s="261"/>
      <c r="Q87" s="261"/>
      <c r="R87" s="413"/>
      <c r="S87" s="413"/>
      <c r="T87" s="261"/>
      <c r="U87" s="261"/>
      <c r="V87" s="262"/>
      <c r="W87" s="261"/>
      <c r="X87" s="260"/>
      <c r="Y87" s="260"/>
      <c r="Z87" s="262"/>
      <c r="AS87" s="47"/>
      <c r="AT87" s="396"/>
      <c r="AU87" s="396"/>
      <c r="AV87" s="396"/>
      <c r="AW87" s="396"/>
      <c r="AX87" s="396"/>
      <c r="AY87" s="396"/>
      <c r="AZ87" s="396"/>
      <c r="BA87" s="396"/>
      <c r="BB87" s="396"/>
      <c r="BC87" s="396"/>
      <c r="BD87" s="396"/>
      <c r="BE87" s="34"/>
    </row>
    <row r="88" spans="1:57" ht="16">
      <c r="A88" s="419" t="s">
        <v>12</v>
      </c>
      <c r="B88" s="315">
        <f t="shared" ref="B88:L88" si="46">B79+B81+B83</f>
        <v>0</v>
      </c>
      <c r="C88" s="315">
        <f t="shared" si="46"/>
        <v>0</v>
      </c>
      <c r="D88" s="315">
        <f t="shared" si="46"/>
        <v>0</v>
      </c>
      <c r="E88" s="315">
        <f t="shared" si="46"/>
        <v>5</v>
      </c>
      <c r="F88" s="315">
        <f t="shared" si="46"/>
        <v>18</v>
      </c>
      <c r="G88" s="317">
        <f t="shared" si="46"/>
        <v>9</v>
      </c>
      <c r="H88" s="316">
        <f t="shared" si="46"/>
        <v>11</v>
      </c>
      <c r="I88" s="316">
        <f t="shared" si="46"/>
        <v>1</v>
      </c>
      <c r="J88" s="316">
        <f t="shared" si="46"/>
        <v>0</v>
      </c>
      <c r="K88" s="316">
        <f t="shared" si="46"/>
        <v>0</v>
      </c>
      <c r="L88" s="7">
        <f t="shared" si="46"/>
        <v>0</v>
      </c>
      <c r="M88" s="318">
        <f t="shared" ref="M88:M92" si="47">SUM(B88:L88)</f>
        <v>44</v>
      </c>
      <c r="N88" s="411"/>
      <c r="O88" s="261"/>
      <c r="P88" s="261"/>
      <c r="Q88" s="261"/>
      <c r="R88" s="261"/>
      <c r="S88" s="413"/>
      <c r="T88" s="261"/>
      <c r="U88" s="261"/>
      <c r="V88" s="262"/>
      <c r="W88" s="262"/>
      <c r="X88" s="262"/>
      <c r="Y88" s="260"/>
      <c r="Z88" s="260"/>
      <c r="AS88" s="35"/>
      <c r="AT88" s="395"/>
      <c r="AU88" s="395"/>
      <c r="AV88" s="395"/>
      <c r="AW88" s="395"/>
      <c r="AX88" s="395"/>
      <c r="AY88" s="395"/>
      <c r="AZ88" s="395"/>
      <c r="BA88" s="395"/>
      <c r="BB88" s="395"/>
      <c r="BC88" s="395"/>
      <c r="BD88" s="395"/>
      <c r="BE88" s="397"/>
    </row>
    <row r="89" spans="1:57">
      <c r="A89" s="419" t="s">
        <v>13</v>
      </c>
      <c r="B89" s="315">
        <f t="shared" ref="B89:L89" si="48">B80+B82+B84</f>
        <v>0</v>
      </c>
      <c r="C89" s="315">
        <f t="shared" si="48"/>
        <v>0</v>
      </c>
      <c r="D89" s="315">
        <f t="shared" si="48"/>
        <v>0</v>
      </c>
      <c r="E89" s="315">
        <f t="shared" si="48"/>
        <v>1</v>
      </c>
      <c r="F89" s="315">
        <f t="shared" si="48"/>
        <v>9</v>
      </c>
      <c r="G89" s="317">
        <f t="shared" si="48"/>
        <v>5</v>
      </c>
      <c r="H89" s="316">
        <f t="shared" si="48"/>
        <v>7</v>
      </c>
      <c r="I89" s="316">
        <f t="shared" si="48"/>
        <v>14</v>
      </c>
      <c r="J89" s="316">
        <f t="shared" si="48"/>
        <v>3</v>
      </c>
      <c r="K89" s="316">
        <f t="shared" si="48"/>
        <v>0</v>
      </c>
      <c r="L89" s="7">
        <f t="shared" si="48"/>
        <v>0</v>
      </c>
      <c r="M89" s="318">
        <f t="shared" si="47"/>
        <v>39</v>
      </c>
      <c r="N89" s="196"/>
      <c r="AS89" s="35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398"/>
    </row>
    <row r="90" spans="1:57">
      <c r="A90" s="273" t="s">
        <v>11</v>
      </c>
      <c r="B90" s="199">
        <f t="shared" ref="B90:L90" si="49">SUM(B79:B87)</f>
        <v>0</v>
      </c>
      <c r="C90" s="199">
        <f t="shared" si="49"/>
        <v>0</v>
      </c>
      <c r="D90" s="199">
        <f t="shared" si="49"/>
        <v>0</v>
      </c>
      <c r="E90" s="199">
        <f t="shared" si="49"/>
        <v>6</v>
      </c>
      <c r="F90" s="199">
        <f t="shared" si="49"/>
        <v>53</v>
      </c>
      <c r="G90" s="199">
        <f t="shared" si="49"/>
        <v>22</v>
      </c>
      <c r="H90" s="199">
        <f t="shared" si="49"/>
        <v>20</v>
      </c>
      <c r="I90" s="199">
        <f t="shared" si="49"/>
        <v>18</v>
      </c>
      <c r="J90" s="199">
        <f t="shared" si="49"/>
        <v>3</v>
      </c>
      <c r="K90" s="199">
        <f t="shared" si="49"/>
        <v>0</v>
      </c>
      <c r="L90" s="199">
        <f t="shared" si="49"/>
        <v>0</v>
      </c>
      <c r="M90" s="295">
        <f t="shared" si="47"/>
        <v>122</v>
      </c>
      <c r="N90" s="196"/>
      <c r="AS90" s="35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69"/>
      <c r="BE90" s="398"/>
    </row>
    <row r="91" spans="1:57" ht="16">
      <c r="A91" s="284" t="s">
        <v>36</v>
      </c>
      <c r="B91" s="203"/>
      <c r="C91" s="203">
        <v>1</v>
      </c>
      <c r="D91" s="203">
        <v>6</v>
      </c>
      <c r="E91" s="203">
        <v>15</v>
      </c>
      <c r="F91" s="203">
        <v>20</v>
      </c>
      <c r="G91" s="203">
        <v>15</v>
      </c>
      <c r="H91" s="203">
        <v>6</v>
      </c>
      <c r="I91" s="203">
        <v>1</v>
      </c>
      <c r="J91" s="203"/>
      <c r="K91" s="203"/>
      <c r="L91" s="290"/>
      <c r="M91" s="296">
        <f t="shared" si="47"/>
        <v>64</v>
      </c>
      <c r="AS91" s="35"/>
      <c r="AT91" s="395"/>
      <c r="AU91" s="395"/>
      <c r="AV91" s="395"/>
      <c r="AW91" s="395"/>
      <c r="AX91" s="395"/>
      <c r="AY91" s="395"/>
      <c r="AZ91" s="395"/>
      <c r="BA91" s="395"/>
      <c r="BB91" s="395"/>
      <c r="BC91" s="395"/>
      <c r="BD91" s="395"/>
      <c r="BE91" s="399"/>
    </row>
    <row r="92" spans="1:57">
      <c r="A92" s="284" t="s">
        <v>0</v>
      </c>
      <c r="B92" s="203"/>
      <c r="C92" s="203"/>
      <c r="D92" s="203">
        <v>1</v>
      </c>
      <c r="E92" s="203">
        <v>6</v>
      </c>
      <c r="F92" s="203">
        <v>15</v>
      </c>
      <c r="G92" s="203">
        <v>20</v>
      </c>
      <c r="H92" s="203">
        <v>15</v>
      </c>
      <c r="I92" s="203">
        <v>6</v>
      </c>
      <c r="J92" s="203">
        <v>1</v>
      </c>
      <c r="K92" s="203"/>
      <c r="L92" s="290"/>
      <c r="M92" s="297">
        <f t="shared" si="47"/>
        <v>64</v>
      </c>
      <c r="AS92" s="35"/>
      <c r="AT92" s="400"/>
      <c r="AU92" s="400"/>
      <c r="AV92" s="400"/>
      <c r="AW92" s="400"/>
      <c r="AX92" s="400"/>
      <c r="AY92" s="400"/>
      <c r="AZ92" s="400"/>
      <c r="BA92" s="400"/>
      <c r="BB92" s="400"/>
      <c r="BC92" s="400"/>
      <c r="BD92" s="400"/>
      <c r="BE92" s="34"/>
    </row>
    <row r="93" spans="1:57" ht="14" thickBot="1">
      <c r="A93" s="281"/>
      <c r="B93" s="282"/>
      <c r="C93" s="282"/>
      <c r="D93" s="282"/>
      <c r="E93" s="282"/>
      <c r="F93" s="282"/>
      <c r="G93" s="282"/>
      <c r="H93" s="282"/>
      <c r="I93" s="282"/>
      <c r="J93" s="282"/>
      <c r="K93" s="282"/>
      <c r="L93" s="282"/>
      <c r="M93" s="283"/>
      <c r="AS93" s="35"/>
      <c r="AT93" s="400"/>
      <c r="AU93" s="400"/>
      <c r="AV93" s="400"/>
      <c r="AW93" s="400"/>
      <c r="AX93" s="400"/>
      <c r="AY93" s="400"/>
      <c r="AZ93" s="400"/>
      <c r="BA93" s="400"/>
      <c r="BB93" s="400"/>
      <c r="BC93" s="400"/>
      <c r="BD93" s="400"/>
      <c r="BE93" s="34"/>
    </row>
    <row r="94" spans="1:57" ht="1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AS94" s="35"/>
      <c r="AT94" s="400"/>
      <c r="AU94" s="400"/>
      <c r="AV94" s="400"/>
      <c r="AW94" s="400"/>
      <c r="AX94" s="400"/>
      <c r="AY94" s="400"/>
      <c r="AZ94" s="400"/>
      <c r="BA94" s="400"/>
      <c r="BB94" s="400"/>
      <c r="BC94" s="400"/>
      <c r="BD94" s="400"/>
      <c r="BE94" s="34"/>
    </row>
    <row r="95" spans="1:57" ht="1" customHeight="1">
      <c r="A95" s="27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</row>
    <row r="96" spans="1:57" ht="1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pans="1:57" ht="1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  <row r="98" spans="1:57" ht="1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</row>
    <row r="99" spans="1:57" ht="1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</row>
    <row r="100" spans="1:57" ht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</row>
    <row r="101" spans="1:57" ht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</row>
    <row r="102" spans="1:57" ht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</row>
    <row r="103" spans="1:57" ht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</row>
    <row r="104" spans="1:57" ht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</row>
    <row r="105" spans="1:57" ht="1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</row>
    <row r="106" spans="1:57" ht="1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</row>
    <row r="107" spans="1:57" ht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</row>
    <row r="108" spans="1:57" ht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</row>
    <row r="109" spans="1:57" ht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</row>
    <row r="110" spans="1:57" ht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</row>
    <row r="111" spans="1:57" ht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</row>
    <row r="112" spans="1:57" ht="1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</row>
    <row r="113" spans="1:57" ht="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</row>
    <row r="114" spans="1:57" ht="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</row>
    <row r="115" spans="1:57" ht="1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</row>
    <row r="116" spans="1:57" ht="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</row>
    <row r="117" spans="1:57" ht="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</row>
    <row r="118" spans="1:57" ht="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</row>
    <row r="119" spans="1:57" ht="1" customHeight="1">
      <c r="AX119" s="2"/>
      <c r="AY119" s="2"/>
    </row>
    <row r="120" spans="1:57" ht="1" customHeight="1">
      <c r="AX120" s="2"/>
      <c r="AY120" s="2"/>
    </row>
    <row r="121" spans="1:57" ht="1" customHeight="1">
      <c r="AX121" s="2"/>
      <c r="AY121" s="2"/>
    </row>
    <row r="122" spans="1:57" ht="1" customHeight="1" thickBot="1">
      <c r="AX122" s="2"/>
      <c r="AY122" s="2"/>
    </row>
    <row r="123" spans="1:57">
      <c r="A123" s="335" t="str">
        <f t="shared" ref="A123" si="50">A65</f>
        <v>KW</v>
      </c>
      <c r="B123" s="271">
        <f t="shared" ref="B123:AG123" si="51">IF(B65=0,"",B65)</f>
        <v>1</v>
      </c>
      <c r="C123" s="271">
        <f t="shared" si="51"/>
        <v>2</v>
      </c>
      <c r="D123" s="271">
        <f t="shared" si="51"/>
        <v>3</v>
      </c>
      <c r="E123" s="271">
        <f t="shared" si="51"/>
        <v>4</v>
      </c>
      <c r="F123" s="271">
        <f t="shared" si="51"/>
        <v>5</v>
      </c>
      <c r="G123" s="271">
        <f t="shared" si="51"/>
        <v>6</v>
      </c>
      <c r="H123" s="271">
        <f t="shared" si="51"/>
        <v>7</v>
      </c>
      <c r="I123" s="271">
        <f t="shared" si="51"/>
        <v>8</v>
      </c>
      <c r="J123" s="271">
        <f t="shared" si="51"/>
        <v>9</v>
      </c>
      <c r="K123" s="271">
        <f t="shared" si="51"/>
        <v>10</v>
      </c>
      <c r="L123" s="271">
        <f t="shared" si="51"/>
        <v>11</v>
      </c>
      <c r="M123" s="271">
        <f t="shared" si="51"/>
        <v>12</v>
      </c>
      <c r="N123" s="271">
        <f t="shared" si="51"/>
        <v>13</v>
      </c>
      <c r="O123" s="271">
        <f t="shared" si="51"/>
        <v>14</v>
      </c>
      <c r="P123" s="271">
        <f t="shared" si="51"/>
        <v>15</v>
      </c>
      <c r="Q123" s="271">
        <f t="shared" si="51"/>
        <v>16</v>
      </c>
      <c r="R123" s="271">
        <f t="shared" si="51"/>
        <v>17</v>
      </c>
      <c r="S123" s="271">
        <f t="shared" si="51"/>
        <v>18</v>
      </c>
      <c r="T123" s="271">
        <f t="shared" si="51"/>
        <v>19</v>
      </c>
      <c r="U123" s="271">
        <f t="shared" si="51"/>
        <v>20</v>
      </c>
      <c r="V123" s="271">
        <f t="shared" si="51"/>
        <v>21</v>
      </c>
      <c r="W123" s="271">
        <f t="shared" si="51"/>
        <v>22</v>
      </c>
      <c r="X123" s="271">
        <f t="shared" si="51"/>
        <v>23</v>
      </c>
      <c r="Y123" s="271">
        <f t="shared" si="51"/>
        <v>24</v>
      </c>
      <c r="Z123" s="271">
        <f t="shared" si="51"/>
        <v>25</v>
      </c>
      <c r="AA123" s="271">
        <f t="shared" si="51"/>
        <v>26</v>
      </c>
      <c r="AB123" s="271">
        <f t="shared" si="51"/>
        <v>27</v>
      </c>
      <c r="AC123" s="271">
        <f t="shared" si="51"/>
        <v>28</v>
      </c>
      <c r="AD123" s="271">
        <f t="shared" si="51"/>
        <v>29</v>
      </c>
      <c r="AE123" s="271">
        <f t="shared" si="51"/>
        <v>30</v>
      </c>
      <c r="AF123" s="271">
        <f t="shared" si="51"/>
        <v>31</v>
      </c>
      <c r="AG123" s="271">
        <f t="shared" si="51"/>
        <v>32</v>
      </c>
      <c r="AH123" s="271">
        <f t="shared" ref="AH123:BA123" si="52">IF(AH65=0,"",AH65)</f>
        <v>33</v>
      </c>
      <c r="AI123" s="271">
        <f t="shared" si="52"/>
        <v>34</v>
      </c>
      <c r="AJ123" s="271">
        <f t="shared" si="52"/>
        <v>35</v>
      </c>
      <c r="AK123" s="271">
        <f t="shared" si="52"/>
        <v>36</v>
      </c>
      <c r="AL123" s="271">
        <f t="shared" si="52"/>
        <v>37</v>
      </c>
      <c r="AM123" s="271">
        <f t="shared" si="52"/>
        <v>38</v>
      </c>
      <c r="AN123" s="271">
        <f t="shared" si="52"/>
        <v>39</v>
      </c>
      <c r="AO123" s="271">
        <f t="shared" si="52"/>
        <v>40</v>
      </c>
      <c r="AP123" s="271">
        <f t="shared" si="52"/>
        <v>41</v>
      </c>
      <c r="AQ123" s="271">
        <f t="shared" si="52"/>
        <v>42</v>
      </c>
      <c r="AR123" s="271">
        <f t="shared" si="52"/>
        <v>43</v>
      </c>
      <c r="AS123" s="271">
        <f t="shared" si="52"/>
        <v>44</v>
      </c>
      <c r="AT123" s="271">
        <f t="shared" si="52"/>
        <v>45</v>
      </c>
      <c r="AU123" s="271">
        <f t="shared" si="52"/>
        <v>46</v>
      </c>
      <c r="AV123" s="271">
        <f t="shared" si="52"/>
        <v>47</v>
      </c>
      <c r="AW123" s="271">
        <f t="shared" si="52"/>
        <v>48</v>
      </c>
      <c r="AX123" s="271">
        <f t="shared" si="52"/>
        <v>49</v>
      </c>
      <c r="AY123" s="271">
        <f t="shared" si="52"/>
        <v>50</v>
      </c>
      <c r="AZ123" s="271">
        <f t="shared" si="52"/>
        <v>51</v>
      </c>
      <c r="BA123" s="271">
        <f t="shared" si="52"/>
        <v>52</v>
      </c>
      <c r="BB123" s="337" t="s">
        <v>30</v>
      </c>
    </row>
    <row r="124" spans="1:57" s="1257" customFormat="1">
      <c r="A124" s="1254">
        <f>$A4</f>
        <v>0.29166666666666669</v>
      </c>
      <c r="B124" s="1255">
        <f>IF(B66=0,"",B66)</f>
        <v>6.166666666666667</v>
      </c>
      <c r="C124" s="1255">
        <f t="shared" ref="C124:AG124" si="53">IF(C66=0,"",C66)</f>
        <v>6.1111111111111107</v>
      </c>
      <c r="D124" s="1255">
        <f t="shared" si="53"/>
        <v>6</v>
      </c>
      <c r="E124" s="1255">
        <f t="shared" si="53"/>
        <v>6.2222222222222223</v>
      </c>
      <c r="F124" s="1255">
        <f t="shared" si="53"/>
        <v>6</v>
      </c>
      <c r="G124" s="1255">
        <f t="shared" si="53"/>
        <v>6.2777777777777777</v>
      </c>
      <c r="H124" s="1255">
        <f t="shared" si="53"/>
        <v>6.2222222222222223</v>
      </c>
      <c r="I124" s="1255">
        <f t="shared" si="53"/>
        <v>6.2</v>
      </c>
      <c r="J124" s="1255">
        <f t="shared" si="53"/>
        <v>6.1</v>
      </c>
      <c r="K124" s="1255">
        <f t="shared" si="53"/>
        <v>6</v>
      </c>
      <c r="L124" s="1255">
        <f t="shared" si="53"/>
        <v>6.2</v>
      </c>
      <c r="M124" s="1255">
        <f t="shared" si="53"/>
        <v>6</v>
      </c>
      <c r="N124" s="1255">
        <f t="shared" si="53"/>
        <v>6.2</v>
      </c>
      <c r="O124" s="1255">
        <f t="shared" si="53"/>
        <v>6.2</v>
      </c>
      <c r="P124" s="1255">
        <f t="shared" si="53"/>
        <v>5.9</v>
      </c>
      <c r="Q124" s="1255" t="str">
        <f t="shared" si="53"/>
        <v/>
      </c>
      <c r="R124" s="1255" t="str">
        <f t="shared" si="53"/>
        <v/>
      </c>
      <c r="S124" s="1255" t="str">
        <f t="shared" si="53"/>
        <v/>
      </c>
      <c r="T124" s="1255" t="str">
        <f t="shared" si="53"/>
        <v/>
      </c>
      <c r="U124" s="1255" t="str">
        <f t="shared" si="53"/>
        <v/>
      </c>
      <c r="V124" s="1255" t="str">
        <f t="shared" si="53"/>
        <v/>
      </c>
      <c r="W124" s="1255" t="str">
        <f t="shared" si="53"/>
        <v/>
      </c>
      <c r="X124" s="1255" t="str">
        <f t="shared" si="53"/>
        <v/>
      </c>
      <c r="Y124" s="1255" t="str">
        <f t="shared" si="53"/>
        <v/>
      </c>
      <c r="Z124" s="1255" t="str">
        <f t="shared" si="53"/>
        <v/>
      </c>
      <c r="AA124" s="1255" t="str">
        <f t="shared" si="53"/>
        <v/>
      </c>
      <c r="AB124" s="1255" t="str">
        <f t="shared" si="53"/>
        <v/>
      </c>
      <c r="AC124" s="1255" t="str">
        <f t="shared" si="53"/>
        <v/>
      </c>
      <c r="AD124" s="1255" t="str">
        <f t="shared" si="53"/>
        <v/>
      </c>
      <c r="AE124" s="1255" t="str">
        <f t="shared" si="53"/>
        <v/>
      </c>
      <c r="AF124" s="1255" t="str">
        <f t="shared" si="53"/>
        <v/>
      </c>
      <c r="AG124" s="1255" t="str">
        <f t="shared" si="53"/>
        <v/>
      </c>
      <c r="AH124" s="1255" t="str">
        <f t="shared" ref="AH124:BA124" si="54">IF(AH66=0,"",AH66)</f>
        <v/>
      </c>
      <c r="AI124" s="1255" t="str">
        <f t="shared" si="54"/>
        <v/>
      </c>
      <c r="AJ124" s="1255" t="str">
        <f t="shared" si="54"/>
        <v/>
      </c>
      <c r="AK124" s="1255" t="str">
        <f t="shared" si="54"/>
        <v/>
      </c>
      <c r="AL124" s="1255" t="str">
        <f t="shared" si="54"/>
        <v/>
      </c>
      <c r="AM124" s="1255" t="str">
        <f t="shared" si="54"/>
        <v/>
      </c>
      <c r="AN124" s="1255" t="str">
        <f t="shared" si="54"/>
        <v/>
      </c>
      <c r="AO124" s="1255" t="str">
        <f t="shared" si="54"/>
        <v/>
      </c>
      <c r="AP124" s="1255" t="str">
        <f t="shared" si="54"/>
        <v/>
      </c>
      <c r="AQ124" s="1255" t="str">
        <f t="shared" si="54"/>
        <v/>
      </c>
      <c r="AR124" s="1255" t="str">
        <f t="shared" si="54"/>
        <v/>
      </c>
      <c r="AS124" s="1255" t="str">
        <f t="shared" si="54"/>
        <v/>
      </c>
      <c r="AT124" s="1255" t="str">
        <f t="shared" si="54"/>
        <v/>
      </c>
      <c r="AU124" s="1255" t="str">
        <f t="shared" si="54"/>
        <v/>
      </c>
      <c r="AV124" s="1255" t="str">
        <f t="shared" si="54"/>
        <v/>
      </c>
      <c r="AW124" s="1255" t="str">
        <f t="shared" si="54"/>
        <v/>
      </c>
      <c r="AX124" s="1255" t="str">
        <f t="shared" si="54"/>
        <v/>
      </c>
      <c r="AY124" s="1255" t="str">
        <f t="shared" si="54"/>
        <v/>
      </c>
      <c r="AZ124" s="1255" t="str">
        <f t="shared" si="54"/>
        <v/>
      </c>
      <c r="BA124" s="1255" t="str">
        <f t="shared" si="54"/>
        <v/>
      </c>
      <c r="BB124" s="1256">
        <f t="shared" ref="BB124:BB132" si="55">STDEV(B124:BA124)</f>
        <v>0.1134048949296437</v>
      </c>
    </row>
    <row r="125" spans="1:57" s="1257" customFormat="1">
      <c r="A125" s="1254">
        <f t="shared" ref="A125:A132" si="56">$A5</f>
        <v>0.39583333333333331</v>
      </c>
      <c r="B125" s="1255">
        <f t="shared" ref="B125:AG125" si="57">IF(B67=0,"",B67)</f>
        <v>8.2222222222222214</v>
      </c>
      <c r="C125" s="1255">
        <f t="shared" si="57"/>
        <v>9.0555555555555554</v>
      </c>
      <c r="D125" s="1255">
        <f t="shared" si="57"/>
        <v>10.388888888888889</v>
      </c>
      <c r="E125" s="1255">
        <f t="shared" si="57"/>
        <v>10.333333333333334</v>
      </c>
      <c r="F125" s="1255">
        <f t="shared" si="57"/>
        <v>10.555555555555555</v>
      </c>
      <c r="G125" s="1255">
        <f t="shared" si="57"/>
        <v>12.111111111111111</v>
      </c>
      <c r="H125" s="1255">
        <f t="shared" si="57"/>
        <v>9.8888888888888893</v>
      </c>
      <c r="I125" s="1255">
        <f t="shared" si="57"/>
        <v>8.1999999999999993</v>
      </c>
      <c r="J125" s="1255">
        <f t="shared" si="57"/>
        <v>9.1</v>
      </c>
      <c r="K125" s="1255" t="str">
        <f t="shared" si="57"/>
        <v/>
      </c>
      <c r="L125" s="1255">
        <f t="shared" si="57"/>
        <v>10.3</v>
      </c>
      <c r="M125" s="1255">
        <f t="shared" si="57"/>
        <v>10.5</v>
      </c>
      <c r="N125" s="1255">
        <f t="shared" si="57"/>
        <v>9.6</v>
      </c>
      <c r="O125" s="1255" t="str">
        <f t="shared" si="57"/>
        <v/>
      </c>
      <c r="P125" s="1255">
        <f t="shared" si="57"/>
        <v>9.4</v>
      </c>
      <c r="Q125" s="1255" t="str">
        <f t="shared" si="57"/>
        <v/>
      </c>
      <c r="R125" s="1255" t="str">
        <f t="shared" si="57"/>
        <v/>
      </c>
      <c r="S125" s="1255" t="str">
        <f t="shared" si="57"/>
        <v/>
      </c>
      <c r="T125" s="1255" t="str">
        <f t="shared" si="57"/>
        <v/>
      </c>
      <c r="U125" s="1255" t="str">
        <f t="shared" si="57"/>
        <v/>
      </c>
      <c r="V125" s="1255" t="str">
        <f t="shared" si="57"/>
        <v/>
      </c>
      <c r="W125" s="1255" t="str">
        <f t="shared" si="57"/>
        <v/>
      </c>
      <c r="X125" s="1255" t="str">
        <f t="shared" si="57"/>
        <v/>
      </c>
      <c r="Y125" s="1255" t="str">
        <f t="shared" si="57"/>
        <v/>
      </c>
      <c r="Z125" s="1255" t="str">
        <f t="shared" si="57"/>
        <v/>
      </c>
      <c r="AA125" s="1255" t="str">
        <f t="shared" si="57"/>
        <v/>
      </c>
      <c r="AB125" s="1255" t="str">
        <f t="shared" si="57"/>
        <v/>
      </c>
      <c r="AC125" s="1255" t="str">
        <f t="shared" si="57"/>
        <v/>
      </c>
      <c r="AD125" s="1255" t="str">
        <f t="shared" si="57"/>
        <v/>
      </c>
      <c r="AE125" s="1255" t="str">
        <f t="shared" si="57"/>
        <v/>
      </c>
      <c r="AF125" s="1255" t="str">
        <f t="shared" si="57"/>
        <v/>
      </c>
      <c r="AG125" s="1255" t="str">
        <f t="shared" si="57"/>
        <v/>
      </c>
      <c r="AH125" s="1255" t="str">
        <f t="shared" ref="AH125:BA125" si="58">IF(AH67=0,"",AH67)</f>
        <v/>
      </c>
      <c r="AI125" s="1255" t="str">
        <f t="shared" si="58"/>
        <v/>
      </c>
      <c r="AJ125" s="1255" t="str">
        <f t="shared" si="58"/>
        <v/>
      </c>
      <c r="AK125" s="1255" t="str">
        <f t="shared" si="58"/>
        <v/>
      </c>
      <c r="AL125" s="1255" t="str">
        <f t="shared" si="58"/>
        <v/>
      </c>
      <c r="AM125" s="1255" t="str">
        <f t="shared" si="58"/>
        <v/>
      </c>
      <c r="AN125" s="1255" t="str">
        <f t="shared" si="58"/>
        <v/>
      </c>
      <c r="AO125" s="1255" t="str">
        <f t="shared" si="58"/>
        <v/>
      </c>
      <c r="AP125" s="1255" t="str">
        <f t="shared" si="58"/>
        <v/>
      </c>
      <c r="AQ125" s="1255" t="str">
        <f t="shared" si="58"/>
        <v/>
      </c>
      <c r="AR125" s="1255" t="str">
        <f t="shared" si="58"/>
        <v/>
      </c>
      <c r="AS125" s="1255" t="str">
        <f t="shared" si="58"/>
        <v/>
      </c>
      <c r="AT125" s="1255" t="str">
        <f t="shared" si="58"/>
        <v/>
      </c>
      <c r="AU125" s="1255" t="str">
        <f t="shared" si="58"/>
        <v/>
      </c>
      <c r="AV125" s="1255" t="str">
        <f t="shared" si="58"/>
        <v/>
      </c>
      <c r="AW125" s="1255" t="str">
        <f t="shared" si="58"/>
        <v/>
      </c>
      <c r="AX125" s="1255" t="str">
        <f t="shared" si="58"/>
        <v/>
      </c>
      <c r="AY125" s="1255" t="str">
        <f t="shared" si="58"/>
        <v/>
      </c>
      <c r="AZ125" s="1255" t="str">
        <f t="shared" si="58"/>
        <v/>
      </c>
      <c r="BA125" s="1255" t="str">
        <f t="shared" si="58"/>
        <v/>
      </c>
      <c r="BB125" s="1256">
        <f t="shared" si="55"/>
        <v>1.063790043238664</v>
      </c>
    </row>
    <row r="126" spans="1:57" s="1257" customFormat="1">
      <c r="A126" s="1254">
        <f t="shared" si="56"/>
        <v>0.5</v>
      </c>
      <c r="B126" s="1255">
        <f t="shared" ref="B126:AG126" si="59">IF(B68=0,"",B68)</f>
        <v>4.7777777777777777</v>
      </c>
      <c r="C126" s="1255">
        <f t="shared" si="59"/>
        <v>6.7777777777777777</v>
      </c>
      <c r="D126" s="1255">
        <f t="shared" si="59"/>
        <v>6.7777777777777777</v>
      </c>
      <c r="E126" s="1255">
        <f t="shared" si="59"/>
        <v>8.7777777777777786</v>
      </c>
      <c r="F126" s="1255">
        <f t="shared" si="59"/>
        <v>8.7222222222222214</v>
      </c>
      <c r="G126" s="1255">
        <f t="shared" si="59"/>
        <v>8.0555555555555554</v>
      </c>
      <c r="H126" s="1255">
        <f t="shared" si="59"/>
        <v>6.7777777777777777</v>
      </c>
      <c r="I126" s="1255">
        <f t="shared" si="59"/>
        <v>4.8</v>
      </c>
      <c r="J126" s="1255">
        <f t="shared" si="59"/>
        <v>6.8</v>
      </c>
      <c r="K126" s="1255">
        <f t="shared" si="59"/>
        <v>10.3</v>
      </c>
      <c r="L126" s="1255">
        <f t="shared" si="59"/>
        <v>8.1999999999999993</v>
      </c>
      <c r="M126" s="1255">
        <f t="shared" si="59"/>
        <v>8.6999999999999993</v>
      </c>
      <c r="N126" s="1255">
        <f t="shared" si="59"/>
        <v>6</v>
      </c>
      <c r="O126" s="1255" t="str">
        <f t="shared" si="59"/>
        <v/>
      </c>
      <c r="P126" s="1255">
        <f t="shared" si="59"/>
        <v>7.4</v>
      </c>
      <c r="Q126" s="1255" t="str">
        <f t="shared" si="59"/>
        <v/>
      </c>
      <c r="R126" s="1255" t="str">
        <f t="shared" si="59"/>
        <v/>
      </c>
      <c r="S126" s="1255" t="str">
        <f t="shared" si="59"/>
        <v/>
      </c>
      <c r="T126" s="1255" t="str">
        <f t="shared" si="59"/>
        <v/>
      </c>
      <c r="U126" s="1255" t="str">
        <f t="shared" si="59"/>
        <v/>
      </c>
      <c r="V126" s="1255" t="str">
        <f t="shared" si="59"/>
        <v/>
      </c>
      <c r="W126" s="1255" t="str">
        <f t="shared" si="59"/>
        <v/>
      </c>
      <c r="X126" s="1255" t="str">
        <f t="shared" si="59"/>
        <v/>
      </c>
      <c r="Y126" s="1255" t="str">
        <f t="shared" si="59"/>
        <v/>
      </c>
      <c r="Z126" s="1255" t="str">
        <f t="shared" si="59"/>
        <v/>
      </c>
      <c r="AA126" s="1255" t="str">
        <f t="shared" si="59"/>
        <v/>
      </c>
      <c r="AB126" s="1255" t="str">
        <f t="shared" si="59"/>
        <v/>
      </c>
      <c r="AC126" s="1255" t="str">
        <f t="shared" si="59"/>
        <v/>
      </c>
      <c r="AD126" s="1255" t="str">
        <f t="shared" si="59"/>
        <v/>
      </c>
      <c r="AE126" s="1255" t="str">
        <f t="shared" si="59"/>
        <v/>
      </c>
      <c r="AF126" s="1255" t="str">
        <f t="shared" si="59"/>
        <v/>
      </c>
      <c r="AG126" s="1255" t="str">
        <f t="shared" si="59"/>
        <v/>
      </c>
      <c r="AH126" s="1255" t="str">
        <f t="shared" ref="AH126:BA126" si="60">IF(AH68=0,"",AH68)</f>
        <v/>
      </c>
      <c r="AI126" s="1255" t="str">
        <f t="shared" si="60"/>
        <v/>
      </c>
      <c r="AJ126" s="1255" t="str">
        <f t="shared" si="60"/>
        <v/>
      </c>
      <c r="AK126" s="1255" t="str">
        <f t="shared" si="60"/>
        <v/>
      </c>
      <c r="AL126" s="1255" t="str">
        <f t="shared" si="60"/>
        <v/>
      </c>
      <c r="AM126" s="1255" t="str">
        <f t="shared" si="60"/>
        <v/>
      </c>
      <c r="AN126" s="1255" t="str">
        <f t="shared" si="60"/>
        <v/>
      </c>
      <c r="AO126" s="1255" t="str">
        <f t="shared" si="60"/>
        <v/>
      </c>
      <c r="AP126" s="1255" t="str">
        <f t="shared" si="60"/>
        <v/>
      </c>
      <c r="AQ126" s="1255" t="str">
        <f t="shared" si="60"/>
        <v/>
      </c>
      <c r="AR126" s="1255" t="str">
        <f t="shared" si="60"/>
        <v/>
      </c>
      <c r="AS126" s="1255" t="str">
        <f t="shared" si="60"/>
        <v/>
      </c>
      <c r="AT126" s="1255" t="str">
        <f t="shared" si="60"/>
        <v/>
      </c>
      <c r="AU126" s="1255" t="str">
        <f t="shared" si="60"/>
        <v/>
      </c>
      <c r="AV126" s="1255" t="str">
        <f t="shared" si="60"/>
        <v/>
      </c>
      <c r="AW126" s="1255" t="str">
        <f t="shared" si="60"/>
        <v/>
      </c>
      <c r="AX126" s="1255" t="str">
        <f>IF(AX68=0,"",AX68)</f>
        <v/>
      </c>
      <c r="AY126" s="1255" t="str">
        <f t="shared" si="60"/>
        <v/>
      </c>
      <c r="AZ126" s="1255" t="str">
        <f t="shared" si="60"/>
        <v/>
      </c>
      <c r="BA126" s="1255" t="str">
        <f t="shared" si="60"/>
        <v/>
      </c>
      <c r="BB126" s="1256">
        <f t="shared" si="55"/>
        <v>1.5663631188712528</v>
      </c>
    </row>
    <row r="127" spans="1:57" s="1257" customFormat="1">
      <c r="A127" s="1254">
        <f t="shared" si="56"/>
        <v>0.60416666666666663</v>
      </c>
      <c r="B127" s="1255">
        <f t="shared" ref="B127:AG127" si="61">IF(B69=0,"",B69)</f>
        <v>10.611111111111111</v>
      </c>
      <c r="C127" s="1255">
        <f t="shared" si="61"/>
        <v>6.2222222222222223</v>
      </c>
      <c r="D127" s="1255">
        <f t="shared" si="61"/>
        <v>6.3888888888888893</v>
      </c>
      <c r="E127" s="1255">
        <f t="shared" si="61"/>
        <v>5.3888888888888893</v>
      </c>
      <c r="F127" s="1255" t="str">
        <f t="shared" si="61"/>
        <v/>
      </c>
      <c r="G127" s="1255">
        <f t="shared" si="61"/>
        <v>7.0555555555555554</v>
      </c>
      <c r="H127" s="1255">
        <f t="shared" si="61"/>
        <v>8.7222222222222214</v>
      </c>
      <c r="I127" s="1255">
        <f t="shared" si="61"/>
        <v>10.6</v>
      </c>
      <c r="J127" s="1255">
        <f t="shared" si="61"/>
        <v>6.2</v>
      </c>
      <c r="K127" s="1255">
        <f t="shared" si="61"/>
        <v>6.8</v>
      </c>
      <c r="L127" s="1255">
        <f t="shared" si="61"/>
        <v>5.4</v>
      </c>
      <c r="M127" s="1255" t="str">
        <f t="shared" si="61"/>
        <v/>
      </c>
      <c r="N127" s="1255">
        <f t="shared" si="61"/>
        <v>4.5</v>
      </c>
      <c r="O127" s="1255" t="str">
        <f t="shared" si="61"/>
        <v/>
      </c>
      <c r="P127" s="1255">
        <f t="shared" si="61"/>
        <v>6</v>
      </c>
      <c r="Q127" s="1255" t="str">
        <f t="shared" si="61"/>
        <v/>
      </c>
      <c r="R127" s="1255" t="str">
        <f t="shared" si="61"/>
        <v/>
      </c>
      <c r="S127" s="1255" t="str">
        <f t="shared" si="61"/>
        <v/>
      </c>
      <c r="T127" s="1255" t="str">
        <f t="shared" si="61"/>
        <v/>
      </c>
      <c r="U127" s="1255" t="str">
        <f t="shared" si="61"/>
        <v/>
      </c>
      <c r="V127" s="1255" t="str">
        <f t="shared" si="61"/>
        <v/>
      </c>
      <c r="W127" s="1255" t="str">
        <f t="shared" si="61"/>
        <v/>
      </c>
      <c r="X127" s="1255" t="str">
        <f t="shared" si="61"/>
        <v/>
      </c>
      <c r="Y127" s="1255" t="str">
        <f t="shared" si="61"/>
        <v/>
      </c>
      <c r="Z127" s="1255" t="str">
        <f t="shared" si="61"/>
        <v/>
      </c>
      <c r="AA127" s="1255" t="str">
        <f t="shared" si="61"/>
        <v/>
      </c>
      <c r="AB127" s="1255" t="str">
        <f t="shared" si="61"/>
        <v/>
      </c>
      <c r="AC127" s="1255" t="str">
        <f t="shared" si="61"/>
        <v/>
      </c>
      <c r="AD127" s="1255" t="str">
        <f t="shared" si="61"/>
        <v/>
      </c>
      <c r="AE127" s="1255" t="str">
        <f t="shared" si="61"/>
        <v/>
      </c>
      <c r="AF127" s="1255" t="str">
        <f t="shared" si="61"/>
        <v/>
      </c>
      <c r="AG127" s="1255" t="str">
        <f t="shared" si="61"/>
        <v/>
      </c>
      <c r="AH127" s="1255" t="str">
        <f t="shared" ref="AH127:BA127" si="62">IF(AH69=0,"",AH69)</f>
        <v/>
      </c>
      <c r="AI127" s="1255" t="str">
        <f t="shared" si="62"/>
        <v/>
      </c>
      <c r="AJ127" s="1255" t="str">
        <f t="shared" si="62"/>
        <v/>
      </c>
      <c r="AK127" s="1255" t="str">
        <f t="shared" si="62"/>
        <v/>
      </c>
      <c r="AL127" s="1255" t="str">
        <f t="shared" si="62"/>
        <v/>
      </c>
      <c r="AM127" s="1255" t="str">
        <f t="shared" si="62"/>
        <v/>
      </c>
      <c r="AN127" s="1255" t="str">
        <f t="shared" si="62"/>
        <v/>
      </c>
      <c r="AO127" s="1255" t="str">
        <f t="shared" si="62"/>
        <v/>
      </c>
      <c r="AP127" s="1255" t="str">
        <f t="shared" si="62"/>
        <v/>
      </c>
      <c r="AQ127" s="1255" t="str">
        <f t="shared" si="62"/>
        <v/>
      </c>
      <c r="AR127" s="1255" t="str">
        <f t="shared" si="62"/>
        <v/>
      </c>
      <c r="AS127" s="1255" t="str">
        <f t="shared" si="62"/>
        <v/>
      </c>
      <c r="AT127" s="1255" t="str">
        <f t="shared" si="62"/>
        <v/>
      </c>
      <c r="AU127" s="1255" t="str">
        <f t="shared" si="62"/>
        <v/>
      </c>
      <c r="AV127" s="1255" t="str">
        <f t="shared" si="62"/>
        <v/>
      </c>
      <c r="AW127" s="1255" t="str">
        <f t="shared" si="62"/>
        <v/>
      </c>
      <c r="AX127" s="1255" t="str">
        <f t="shared" si="62"/>
        <v/>
      </c>
      <c r="AY127" s="1255" t="str">
        <f t="shared" si="62"/>
        <v/>
      </c>
      <c r="AZ127" s="1255" t="str">
        <f t="shared" si="62"/>
        <v/>
      </c>
      <c r="BA127" s="1255" t="str">
        <f t="shared" si="62"/>
        <v/>
      </c>
      <c r="BB127" s="1256">
        <f t="shared" si="55"/>
        <v>1.9778846488736097</v>
      </c>
    </row>
    <row r="128" spans="1:57" s="1257" customFormat="1">
      <c r="A128" s="1254">
        <f t="shared" si="56"/>
        <v>0.72916666666666663</v>
      </c>
      <c r="B128" s="1255">
        <f t="shared" ref="B128:AG128" si="63">IF(B70=0,"",B70)</f>
        <v>6.9444444444444446</v>
      </c>
      <c r="C128" s="1255">
        <f t="shared" si="63"/>
        <v>8.2777777777777786</v>
      </c>
      <c r="D128" s="1255">
        <f t="shared" si="63"/>
        <v>7.0555555555555554</v>
      </c>
      <c r="E128" s="1255">
        <f t="shared" si="63"/>
        <v>5</v>
      </c>
      <c r="F128" s="1255">
        <f t="shared" si="63"/>
        <v>9.1666666666666661</v>
      </c>
      <c r="G128" s="1255">
        <f t="shared" si="63"/>
        <v>6</v>
      </c>
      <c r="H128" s="1255">
        <f t="shared" si="63"/>
        <v>9.1666666666666661</v>
      </c>
      <c r="I128" s="1255">
        <f t="shared" si="63"/>
        <v>6.9</v>
      </c>
      <c r="J128" s="1255">
        <f t="shared" si="63"/>
        <v>8.1999999999999993</v>
      </c>
      <c r="K128" s="1255">
        <f t="shared" si="63"/>
        <v>6.4</v>
      </c>
      <c r="L128" s="1255">
        <f t="shared" si="63"/>
        <v>5</v>
      </c>
      <c r="M128" s="1255">
        <f t="shared" si="63"/>
        <v>9.1999999999999993</v>
      </c>
      <c r="N128" s="1255">
        <f t="shared" si="63"/>
        <v>4.9000000000000004</v>
      </c>
      <c r="O128" s="1255">
        <f t="shared" si="63"/>
        <v>6.8</v>
      </c>
      <c r="P128" s="1255">
        <f t="shared" si="63"/>
        <v>8.1999999999999993</v>
      </c>
      <c r="Q128" s="1255" t="str">
        <f t="shared" si="63"/>
        <v/>
      </c>
      <c r="R128" s="1255" t="str">
        <f t="shared" si="63"/>
        <v/>
      </c>
      <c r="S128" s="1255" t="str">
        <f t="shared" si="63"/>
        <v/>
      </c>
      <c r="T128" s="1255" t="str">
        <f t="shared" si="63"/>
        <v/>
      </c>
      <c r="U128" s="1255" t="str">
        <f t="shared" si="63"/>
        <v/>
      </c>
      <c r="V128" s="1255" t="str">
        <f t="shared" si="63"/>
        <v/>
      </c>
      <c r="W128" s="1255" t="str">
        <f t="shared" si="63"/>
        <v/>
      </c>
      <c r="X128" s="1255" t="str">
        <f t="shared" si="63"/>
        <v/>
      </c>
      <c r="Y128" s="1255" t="str">
        <f t="shared" si="63"/>
        <v/>
      </c>
      <c r="Z128" s="1255" t="str">
        <f t="shared" si="63"/>
        <v/>
      </c>
      <c r="AA128" s="1255" t="str">
        <f t="shared" si="63"/>
        <v/>
      </c>
      <c r="AB128" s="1255" t="str">
        <f t="shared" si="63"/>
        <v/>
      </c>
      <c r="AC128" s="1255" t="str">
        <f t="shared" si="63"/>
        <v/>
      </c>
      <c r="AD128" s="1255" t="str">
        <f t="shared" si="63"/>
        <v/>
      </c>
      <c r="AE128" s="1255" t="str">
        <f t="shared" si="63"/>
        <v/>
      </c>
      <c r="AF128" s="1255" t="str">
        <f t="shared" si="63"/>
        <v/>
      </c>
      <c r="AG128" s="1255" t="str">
        <f t="shared" si="63"/>
        <v/>
      </c>
      <c r="AH128" s="1255" t="str">
        <f t="shared" ref="AH128:BA128" si="64">IF(AH70=0,"",AH70)</f>
        <v/>
      </c>
      <c r="AI128" s="1255" t="str">
        <f t="shared" si="64"/>
        <v/>
      </c>
      <c r="AJ128" s="1255" t="str">
        <f t="shared" si="64"/>
        <v/>
      </c>
      <c r="AK128" s="1255" t="str">
        <f t="shared" si="64"/>
        <v/>
      </c>
      <c r="AL128" s="1255" t="str">
        <f t="shared" si="64"/>
        <v/>
      </c>
      <c r="AM128" s="1255" t="str">
        <f t="shared" si="64"/>
        <v/>
      </c>
      <c r="AN128" s="1255" t="str">
        <f t="shared" si="64"/>
        <v/>
      </c>
      <c r="AO128" s="1255" t="str">
        <f t="shared" si="64"/>
        <v/>
      </c>
      <c r="AP128" s="1255" t="str">
        <f t="shared" si="64"/>
        <v/>
      </c>
      <c r="AQ128" s="1255" t="str">
        <f t="shared" si="64"/>
        <v/>
      </c>
      <c r="AR128" s="1255" t="str">
        <f t="shared" si="64"/>
        <v/>
      </c>
      <c r="AS128" s="1255" t="str">
        <f t="shared" si="64"/>
        <v/>
      </c>
      <c r="AT128" s="1255" t="str">
        <f t="shared" si="64"/>
        <v/>
      </c>
      <c r="AU128" s="1255" t="str">
        <f t="shared" si="64"/>
        <v/>
      </c>
      <c r="AV128" s="1255" t="str">
        <f t="shared" si="64"/>
        <v/>
      </c>
      <c r="AW128" s="1255" t="str">
        <f t="shared" si="64"/>
        <v/>
      </c>
      <c r="AX128" s="1255" t="str">
        <f t="shared" si="64"/>
        <v/>
      </c>
      <c r="AY128" s="1255" t="str">
        <f t="shared" si="64"/>
        <v/>
      </c>
      <c r="AZ128" s="1255" t="str">
        <f t="shared" si="64"/>
        <v/>
      </c>
      <c r="BA128" s="1255" t="str">
        <f t="shared" si="64"/>
        <v/>
      </c>
      <c r="BB128" s="1256">
        <f t="shared" si="55"/>
        <v>1.5175601569954078</v>
      </c>
    </row>
    <row r="129" spans="1:54" s="1257" customFormat="1">
      <c r="A129" s="1254">
        <f t="shared" si="56"/>
        <v>0.83333333333333337</v>
      </c>
      <c r="B129" s="1255">
        <f t="shared" ref="B129:AG129" si="65">IF(B71=0,"",B71)</f>
        <v>7.7222222222222223</v>
      </c>
      <c r="C129" s="1255">
        <f t="shared" si="65"/>
        <v>10.722222222222221</v>
      </c>
      <c r="D129" s="1255" t="str">
        <f t="shared" si="65"/>
        <v/>
      </c>
      <c r="E129" s="1255">
        <f t="shared" si="65"/>
        <v>11.944444444444445</v>
      </c>
      <c r="F129" s="1255">
        <f t="shared" si="65"/>
        <v>10.666666666666666</v>
      </c>
      <c r="G129" s="1255">
        <f t="shared" si="65"/>
        <v>5.9444444444444446</v>
      </c>
      <c r="H129" s="1255">
        <f t="shared" si="65"/>
        <v>10.722222222222221</v>
      </c>
      <c r="I129" s="1255">
        <f t="shared" si="65"/>
        <v>7.7</v>
      </c>
      <c r="J129" s="1255">
        <f t="shared" si="65"/>
        <v>10.7</v>
      </c>
      <c r="K129" s="1255">
        <f t="shared" si="65"/>
        <v>7</v>
      </c>
      <c r="L129" s="1255">
        <f t="shared" si="65"/>
        <v>11.9</v>
      </c>
      <c r="M129" s="1255">
        <f t="shared" si="65"/>
        <v>10.8</v>
      </c>
      <c r="N129" s="1255">
        <f t="shared" si="65"/>
        <v>5.2</v>
      </c>
      <c r="O129" s="1255">
        <f t="shared" si="65"/>
        <v>5.2</v>
      </c>
      <c r="P129" s="1255">
        <f t="shared" si="65"/>
        <v>8.6999999999999993</v>
      </c>
      <c r="Q129" s="1255" t="str">
        <f t="shared" si="65"/>
        <v/>
      </c>
      <c r="R129" s="1255" t="str">
        <f t="shared" si="65"/>
        <v/>
      </c>
      <c r="S129" s="1255" t="str">
        <f t="shared" si="65"/>
        <v/>
      </c>
      <c r="T129" s="1255" t="str">
        <f t="shared" si="65"/>
        <v/>
      </c>
      <c r="U129" s="1255" t="str">
        <f t="shared" si="65"/>
        <v/>
      </c>
      <c r="V129" s="1255" t="str">
        <f t="shared" si="65"/>
        <v/>
      </c>
      <c r="W129" s="1255" t="str">
        <f t="shared" si="65"/>
        <v/>
      </c>
      <c r="X129" s="1255" t="str">
        <f t="shared" si="65"/>
        <v/>
      </c>
      <c r="Y129" s="1255" t="str">
        <f t="shared" si="65"/>
        <v/>
      </c>
      <c r="Z129" s="1255" t="str">
        <f t="shared" si="65"/>
        <v/>
      </c>
      <c r="AA129" s="1255" t="str">
        <f t="shared" si="65"/>
        <v/>
      </c>
      <c r="AB129" s="1255" t="str">
        <f t="shared" si="65"/>
        <v/>
      </c>
      <c r="AC129" s="1255" t="str">
        <f t="shared" si="65"/>
        <v/>
      </c>
      <c r="AD129" s="1255" t="str">
        <f t="shared" si="65"/>
        <v/>
      </c>
      <c r="AE129" s="1255" t="str">
        <f t="shared" si="65"/>
        <v/>
      </c>
      <c r="AF129" s="1255" t="str">
        <f t="shared" si="65"/>
        <v/>
      </c>
      <c r="AG129" s="1255" t="str">
        <f t="shared" si="65"/>
        <v/>
      </c>
      <c r="AH129" s="1255" t="str">
        <f t="shared" ref="AH129:BA129" si="66">IF(AH71=0,"",AH71)</f>
        <v/>
      </c>
      <c r="AI129" s="1255" t="str">
        <f t="shared" si="66"/>
        <v/>
      </c>
      <c r="AJ129" s="1255" t="str">
        <f t="shared" si="66"/>
        <v/>
      </c>
      <c r="AK129" s="1255" t="str">
        <f t="shared" si="66"/>
        <v/>
      </c>
      <c r="AL129" s="1255" t="str">
        <f t="shared" si="66"/>
        <v/>
      </c>
      <c r="AM129" s="1255" t="str">
        <f t="shared" si="66"/>
        <v/>
      </c>
      <c r="AN129" s="1255" t="str">
        <f t="shared" si="66"/>
        <v/>
      </c>
      <c r="AO129" s="1255" t="str">
        <f t="shared" si="66"/>
        <v/>
      </c>
      <c r="AP129" s="1255" t="str">
        <f t="shared" si="66"/>
        <v/>
      </c>
      <c r="AQ129" s="1255" t="str">
        <f t="shared" si="66"/>
        <v/>
      </c>
      <c r="AR129" s="1255" t="str">
        <f t="shared" si="66"/>
        <v/>
      </c>
      <c r="AS129" s="1255" t="str">
        <f t="shared" si="66"/>
        <v/>
      </c>
      <c r="AT129" s="1255" t="str">
        <f t="shared" si="66"/>
        <v/>
      </c>
      <c r="AU129" s="1255" t="str">
        <f t="shared" si="66"/>
        <v/>
      </c>
      <c r="AV129" s="1255" t="str">
        <f t="shared" si="66"/>
        <v/>
      </c>
      <c r="AW129" s="1255" t="str">
        <f t="shared" si="66"/>
        <v/>
      </c>
      <c r="AX129" s="1255" t="str">
        <f t="shared" si="66"/>
        <v/>
      </c>
      <c r="AY129" s="1255" t="str">
        <f t="shared" si="66"/>
        <v/>
      </c>
      <c r="AZ129" s="1255" t="str">
        <f t="shared" si="66"/>
        <v/>
      </c>
      <c r="BA129" s="1255" t="str">
        <f t="shared" si="66"/>
        <v/>
      </c>
      <c r="BB129" s="1256">
        <f t="shared" si="55"/>
        <v>2.441087299526012</v>
      </c>
    </row>
    <row r="130" spans="1:54" s="1257" customFormat="1">
      <c r="A130" s="1254">
        <f t="shared" si="56"/>
        <v>0.95833333333333337</v>
      </c>
      <c r="B130" s="1255">
        <f t="shared" ref="B130:AG130" si="67">IF(B72=0,"",B72)</f>
        <v>7.3888888888888893</v>
      </c>
      <c r="C130" s="1255">
        <f t="shared" si="67"/>
        <v>9</v>
      </c>
      <c r="D130" s="1255">
        <f t="shared" si="67"/>
        <v>7.5555555555555554</v>
      </c>
      <c r="E130" s="1255">
        <f t="shared" si="67"/>
        <v>5.2777777777777777</v>
      </c>
      <c r="F130" s="1255">
        <f t="shared" si="67"/>
        <v>9.7222222222222214</v>
      </c>
      <c r="G130" s="1255">
        <f t="shared" si="67"/>
        <v>10</v>
      </c>
      <c r="H130" s="1255">
        <f t="shared" si="67"/>
        <v>7.2222222222222223</v>
      </c>
      <c r="I130" s="1255">
        <f t="shared" si="67"/>
        <v>7.4</v>
      </c>
      <c r="J130" s="1255">
        <f t="shared" si="67"/>
        <v>9</v>
      </c>
      <c r="K130" s="1255">
        <f t="shared" si="67"/>
        <v>7.6</v>
      </c>
      <c r="L130" s="1255">
        <f t="shared" si="67"/>
        <v>5.3</v>
      </c>
      <c r="M130" s="1255">
        <f t="shared" si="67"/>
        <v>9.6999999999999993</v>
      </c>
      <c r="N130" s="1255" t="str">
        <f t="shared" si="67"/>
        <v/>
      </c>
      <c r="O130" s="1255">
        <f t="shared" si="67"/>
        <v>5.3</v>
      </c>
      <c r="P130" s="1255">
        <f t="shared" si="67"/>
        <v>7.9</v>
      </c>
      <c r="Q130" s="1255" t="str">
        <f t="shared" si="67"/>
        <v/>
      </c>
      <c r="R130" s="1255" t="str">
        <f t="shared" si="67"/>
        <v/>
      </c>
      <c r="S130" s="1255" t="str">
        <f t="shared" si="67"/>
        <v/>
      </c>
      <c r="T130" s="1255" t="str">
        <f t="shared" si="67"/>
        <v/>
      </c>
      <c r="U130" s="1255" t="str">
        <f t="shared" si="67"/>
        <v/>
      </c>
      <c r="V130" s="1255" t="str">
        <f t="shared" si="67"/>
        <v/>
      </c>
      <c r="W130" s="1255" t="str">
        <f t="shared" si="67"/>
        <v/>
      </c>
      <c r="X130" s="1255" t="str">
        <f t="shared" si="67"/>
        <v/>
      </c>
      <c r="Y130" s="1255" t="str">
        <f t="shared" si="67"/>
        <v/>
      </c>
      <c r="Z130" s="1255" t="str">
        <f t="shared" si="67"/>
        <v/>
      </c>
      <c r="AA130" s="1255" t="str">
        <f t="shared" si="67"/>
        <v/>
      </c>
      <c r="AB130" s="1255" t="str">
        <f t="shared" si="67"/>
        <v/>
      </c>
      <c r="AC130" s="1255" t="str">
        <f t="shared" si="67"/>
        <v/>
      </c>
      <c r="AD130" s="1255" t="str">
        <f t="shared" si="67"/>
        <v/>
      </c>
      <c r="AE130" s="1255" t="str">
        <f t="shared" si="67"/>
        <v/>
      </c>
      <c r="AF130" s="1255" t="str">
        <f t="shared" si="67"/>
        <v/>
      </c>
      <c r="AG130" s="1255" t="str">
        <f t="shared" si="67"/>
        <v/>
      </c>
      <c r="AH130" s="1255" t="str">
        <f t="shared" ref="AH130:BA130" si="68">IF(AH72=0,"",AH72)</f>
        <v/>
      </c>
      <c r="AI130" s="1255" t="str">
        <f t="shared" si="68"/>
        <v/>
      </c>
      <c r="AJ130" s="1255" t="str">
        <f t="shared" si="68"/>
        <v/>
      </c>
      <c r="AK130" s="1255" t="str">
        <f t="shared" si="68"/>
        <v/>
      </c>
      <c r="AL130" s="1255" t="str">
        <f t="shared" si="68"/>
        <v/>
      </c>
      <c r="AM130" s="1255" t="str">
        <f t="shared" si="68"/>
        <v/>
      </c>
      <c r="AN130" s="1255" t="str">
        <f t="shared" si="68"/>
        <v/>
      </c>
      <c r="AO130" s="1255" t="str">
        <f t="shared" si="68"/>
        <v/>
      </c>
      <c r="AP130" s="1255" t="str">
        <f t="shared" si="68"/>
        <v/>
      </c>
      <c r="AQ130" s="1255" t="str">
        <f t="shared" si="68"/>
        <v/>
      </c>
      <c r="AR130" s="1255" t="str">
        <f t="shared" si="68"/>
        <v/>
      </c>
      <c r="AS130" s="1255" t="str">
        <f t="shared" si="68"/>
        <v/>
      </c>
      <c r="AT130" s="1255" t="str">
        <f t="shared" si="68"/>
        <v/>
      </c>
      <c r="AU130" s="1255" t="str">
        <f t="shared" si="68"/>
        <v/>
      </c>
      <c r="AV130" s="1255" t="str">
        <f t="shared" si="68"/>
        <v/>
      </c>
      <c r="AW130" s="1255" t="str">
        <f t="shared" si="68"/>
        <v/>
      </c>
      <c r="AX130" s="1255" t="str">
        <f t="shared" si="68"/>
        <v/>
      </c>
      <c r="AY130" s="1255" t="str">
        <f t="shared" si="68"/>
        <v/>
      </c>
      <c r="AZ130" s="1255" t="str">
        <f t="shared" si="68"/>
        <v/>
      </c>
      <c r="BA130" s="1255" t="str">
        <f t="shared" si="68"/>
        <v/>
      </c>
      <c r="BB130" s="1256">
        <f t="shared" si="55"/>
        <v>1.6316469411625458</v>
      </c>
    </row>
    <row r="131" spans="1:54" s="1257" customFormat="1">
      <c r="A131" s="1254" t="str">
        <f t="shared" si="56"/>
        <v>Nacht</v>
      </c>
      <c r="B131" s="1255">
        <f t="shared" ref="B131:AG131" si="69">IF(B73=0,"",B73)</f>
        <v>5.8888888888888893</v>
      </c>
      <c r="C131" s="1255">
        <f t="shared" si="69"/>
        <v>5.666666666666667</v>
      </c>
      <c r="D131" s="1255">
        <f t="shared" si="69"/>
        <v>6.5</v>
      </c>
      <c r="E131" s="1255">
        <f t="shared" si="69"/>
        <v>6.5555555555555554</v>
      </c>
      <c r="F131" s="1255">
        <f t="shared" si="69"/>
        <v>6.5</v>
      </c>
      <c r="G131" s="1255">
        <f t="shared" si="69"/>
        <v>5.2777777777777777</v>
      </c>
      <c r="H131" s="1255">
        <f t="shared" si="69"/>
        <v>5.5555555555555554</v>
      </c>
      <c r="I131" s="1255">
        <f t="shared" si="69"/>
        <v>5.9</v>
      </c>
      <c r="J131" s="1255">
        <f t="shared" si="69"/>
        <v>5.8</v>
      </c>
      <c r="K131" s="1255">
        <f t="shared" si="69"/>
        <v>6.5</v>
      </c>
      <c r="L131" s="1255">
        <f t="shared" si="69"/>
        <v>6.6</v>
      </c>
      <c r="M131" s="1255">
        <f t="shared" si="69"/>
        <v>6.5</v>
      </c>
      <c r="N131" s="1255" t="str">
        <f t="shared" si="69"/>
        <v/>
      </c>
      <c r="O131" s="1255">
        <f t="shared" si="69"/>
        <v>5.8</v>
      </c>
      <c r="P131" s="1255">
        <f t="shared" si="69"/>
        <v>6.1</v>
      </c>
      <c r="Q131" s="1255" t="str">
        <f t="shared" si="69"/>
        <v/>
      </c>
      <c r="R131" s="1255" t="str">
        <f t="shared" si="69"/>
        <v/>
      </c>
      <c r="S131" s="1255" t="str">
        <f t="shared" si="69"/>
        <v/>
      </c>
      <c r="T131" s="1255" t="str">
        <f t="shared" si="69"/>
        <v/>
      </c>
      <c r="U131" s="1255" t="str">
        <f t="shared" si="69"/>
        <v/>
      </c>
      <c r="V131" s="1255" t="str">
        <f t="shared" si="69"/>
        <v/>
      </c>
      <c r="W131" s="1255" t="str">
        <f t="shared" si="69"/>
        <v/>
      </c>
      <c r="X131" s="1255" t="str">
        <f t="shared" si="69"/>
        <v/>
      </c>
      <c r="Y131" s="1255" t="str">
        <f t="shared" si="69"/>
        <v/>
      </c>
      <c r="Z131" s="1255" t="str">
        <f t="shared" si="69"/>
        <v/>
      </c>
      <c r="AA131" s="1255" t="str">
        <f t="shared" si="69"/>
        <v/>
      </c>
      <c r="AB131" s="1255" t="str">
        <f t="shared" si="69"/>
        <v/>
      </c>
      <c r="AC131" s="1255" t="str">
        <f t="shared" si="69"/>
        <v/>
      </c>
      <c r="AD131" s="1255" t="str">
        <f t="shared" si="69"/>
        <v/>
      </c>
      <c r="AE131" s="1255" t="str">
        <f t="shared" si="69"/>
        <v/>
      </c>
      <c r="AF131" s="1255" t="str">
        <f t="shared" si="69"/>
        <v/>
      </c>
      <c r="AG131" s="1255" t="str">
        <f t="shared" si="69"/>
        <v/>
      </c>
      <c r="AH131" s="1255" t="str">
        <f t="shared" ref="AH131:BA131" si="70">IF(AH73=0,"",AH73)</f>
        <v/>
      </c>
      <c r="AI131" s="1255" t="str">
        <f t="shared" si="70"/>
        <v/>
      </c>
      <c r="AJ131" s="1255" t="str">
        <f t="shared" si="70"/>
        <v/>
      </c>
      <c r="AK131" s="1255" t="str">
        <f t="shared" si="70"/>
        <v/>
      </c>
      <c r="AL131" s="1255" t="str">
        <f t="shared" si="70"/>
        <v/>
      </c>
      <c r="AM131" s="1255" t="str">
        <f t="shared" si="70"/>
        <v/>
      </c>
      <c r="AN131" s="1255" t="str">
        <f t="shared" si="70"/>
        <v/>
      </c>
      <c r="AO131" s="1255" t="str">
        <f t="shared" si="70"/>
        <v/>
      </c>
      <c r="AP131" s="1255" t="str">
        <f t="shared" si="70"/>
        <v/>
      </c>
      <c r="AQ131" s="1255" t="str">
        <f t="shared" si="70"/>
        <v/>
      </c>
      <c r="AR131" s="1255" t="str">
        <f t="shared" si="70"/>
        <v/>
      </c>
      <c r="AS131" s="1255" t="str">
        <f t="shared" si="70"/>
        <v/>
      </c>
      <c r="AT131" s="1255" t="str">
        <f t="shared" si="70"/>
        <v/>
      </c>
      <c r="AU131" s="1255" t="str">
        <f t="shared" si="70"/>
        <v/>
      </c>
      <c r="AV131" s="1255" t="str">
        <f t="shared" si="70"/>
        <v/>
      </c>
      <c r="AW131" s="1255" t="str">
        <f t="shared" si="70"/>
        <v/>
      </c>
      <c r="AX131" s="1255" t="str">
        <f t="shared" si="70"/>
        <v/>
      </c>
      <c r="AY131" s="1255" t="str">
        <f t="shared" si="70"/>
        <v/>
      </c>
      <c r="AZ131" s="1255" t="str">
        <f t="shared" si="70"/>
        <v/>
      </c>
      <c r="BA131" s="1255" t="str">
        <f t="shared" si="70"/>
        <v/>
      </c>
      <c r="BB131" s="1256">
        <f t="shared" si="55"/>
        <v>0.44007698417559321</v>
      </c>
    </row>
    <row r="132" spans="1:54" s="1257" customFormat="1" ht="14" thickBot="1">
      <c r="A132" s="1254" t="str">
        <f t="shared" si="56"/>
        <v>Früh</v>
      </c>
      <c r="B132" s="1258">
        <f t="shared" ref="B132:AG132" si="71">IF(B74=0,"",B74)</f>
        <v>6.166666666666667</v>
      </c>
      <c r="C132" s="1258">
        <f t="shared" si="71"/>
        <v>6.1111111111111107</v>
      </c>
      <c r="D132" s="1258">
        <f t="shared" si="71"/>
        <v>6</v>
      </c>
      <c r="E132" s="1258">
        <f t="shared" si="71"/>
        <v>6.2222222222222223</v>
      </c>
      <c r="F132" s="1258">
        <f t="shared" si="71"/>
        <v>6</v>
      </c>
      <c r="G132" s="1258">
        <f t="shared" si="71"/>
        <v>6.2777777777777777</v>
      </c>
      <c r="H132" s="1258">
        <f t="shared" si="71"/>
        <v>6.2222222222222223</v>
      </c>
      <c r="I132" s="1258" t="str">
        <f t="shared" si="71"/>
        <v/>
      </c>
      <c r="J132" s="1258" t="str">
        <f t="shared" si="71"/>
        <v/>
      </c>
      <c r="K132" s="1258">
        <f t="shared" si="71"/>
        <v>6</v>
      </c>
      <c r="L132" s="1258">
        <f t="shared" si="71"/>
        <v>6.2</v>
      </c>
      <c r="M132" s="1258" t="str">
        <f t="shared" si="71"/>
        <v/>
      </c>
      <c r="N132" s="1258" t="str">
        <f t="shared" si="71"/>
        <v/>
      </c>
      <c r="O132" s="1258">
        <f t="shared" si="71"/>
        <v>6.2</v>
      </c>
      <c r="P132" s="1258">
        <f t="shared" si="71"/>
        <v>6.3</v>
      </c>
      <c r="Q132" s="1258" t="str">
        <f t="shared" si="71"/>
        <v/>
      </c>
      <c r="R132" s="1258" t="str">
        <f t="shared" si="71"/>
        <v/>
      </c>
      <c r="S132" s="1258" t="str">
        <f t="shared" si="71"/>
        <v/>
      </c>
      <c r="T132" s="1258" t="str">
        <f t="shared" si="71"/>
        <v/>
      </c>
      <c r="U132" s="1258" t="str">
        <f t="shared" si="71"/>
        <v/>
      </c>
      <c r="V132" s="1258" t="str">
        <f t="shared" si="71"/>
        <v/>
      </c>
      <c r="W132" s="1258" t="str">
        <f t="shared" si="71"/>
        <v/>
      </c>
      <c r="X132" s="1258" t="str">
        <f t="shared" si="71"/>
        <v/>
      </c>
      <c r="Y132" s="1258" t="str">
        <f t="shared" si="71"/>
        <v/>
      </c>
      <c r="Z132" s="1258" t="str">
        <f t="shared" si="71"/>
        <v/>
      </c>
      <c r="AA132" s="1258" t="str">
        <f t="shared" si="71"/>
        <v/>
      </c>
      <c r="AB132" s="1258" t="str">
        <f t="shared" si="71"/>
        <v/>
      </c>
      <c r="AC132" s="1258" t="str">
        <f t="shared" si="71"/>
        <v/>
      </c>
      <c r="AD132" s="1258" t="str">
        <f t="shared" si="71"/>
        <v/>
      </c>
      <c r="AE132" s="1258" t="str">
        <f t="shared" si="71"/>
        <v/>
      </c>
      <c r="AF132" s="1258" t="str">
        <f t="shared" si="71"/>
        <v/>
      </c>
      <c r="AG132" s="1258" t="str">
        <f t="shared" si="71"/>
        <v/>
      </c>
      <c r="AH132" s="1258" t="str">
        <f t="shared" ref="AH132:BA132" si="72">IF(AH74=0,"",AH74)</f>
        <v/>
      </c>
      <c r="AI132" s="1258" t="str">
        <f t="shared" si="72"/>
        <v/>
      </c>
      <c r="AJ132" s="1258" t="str">
        <f t="shared" si="72"/>
        <v/>
      </c>
      <c r="AK132" s="1258" t="str">
        <f t="shared" si="72"/>
        <v/>
      </c>
      <c r="AL132" s="1258" t="str">
        <f t="shared" si="72"/>
        <v/>
      </c>
      <c r="AM132" s="1258" t="str">
        <f t="shared" si="72"/>
        <v/>
      </c>
      <c r="AN132" s="1258" t="str">
        <f t="shared" si="72"/>
        <v/>
      </c>
      <c r="AO132" s="1258" t="str">
        <f t="shared" si="72"/>
        <v/>
      </c>
      <c r="AP132" s="1258" t="str">
        <f t="shared" si="72"/>
        <v/>
      </c>
      <c r="AQ132" s="1258" t="str">
        <f t="shared" si="72"/>
        <v/>
      </c>
      <c r="AR132" s="1258" t="str">
        <f t="shared" si="72"/>
        <v/>
      </c>
      <c r="AS132" s="1258" t="str">
        <f t="shared" si="72"/>
        <v/>
      </c>
      <c r="AT132" s="1258" t="str">
        <f t="shared" si="72"/>
        <v/>
      </c>
      <c r="AU132" s="1258" t="str">
        <f t="shared" si="72"/>
        <v/>
      </c>
      <c r="AV132" s="1258" t="str">
        <f t="shared" si="72"/>
        <v/>
      </c>
      <c r="AW132" s="1258" t="str">
        <f t="shared" si="72"/>
        <v/>
      </c>
      <c r="AX132" s="1258" t="str">
        <f t="shared" si="72"/>
        <v/>
      </c>
      <c r="AY132" s="1258" t="str">
        <f t="shared" si="72"/>
        <v/>
      </c>
      <c r="AZ132" s="1258" t="str">
        <f t="shared" si="72"/>
        <v/>
      </c>
      <c r="BA132" s="1258" t="str">
        <f t="shared" si="72"/>
        <v/>
      </c>
      <c r="BB132" s="1259">
        <f t="shared" si="55"/>
        <v>0.11105048851255751</v>
      </c>
    </row>
    <row r="134" spans="1:54">
      <c r="B134" s="1510"/>
      <c r="C134" s="1510"/>
      <c r="D134" s="373"/>
      <c r="E134" s="373"/>
      <c r="F134" s="373"/>
      <c r="G134" s="373"/>
      <c r="H134" s="373"/>
      <c r="I134" s="373"/>
      <c r="J134" s="373"/>
      <c r="K134" s="373"/>
      <c r="L134" s="373"/>
      <c r="M134" s="373"/>
      <c r="BA134" s="200" t="s">
        <v>66</v>
      </c>
      <c r="BB134" s="348">
        <f>AVERAGE(BB124:BB132)</f>
        <v>1.2069849529205874</v>
      </c>
    </row>
    <row r="135" spans="1:54">
      <c r="BA135" s="200" t="s">
        <v>67</v>
      </c>
      <c r="BB135" s="348">
        <f>AVERAGE(B124:BA132)</f>
        <v>7.3734061930783223</v>
      </c>
    </row>
    <row r="136" spans="1:54">
      <c r="AD136" s="1542" t="s">
        <v>77</v>
      </c>
      <c r="AE136" s="1543"/>
      <c r="AF136" s="1542" t="s">
        <v>76</v>
      </c>
      <c r="AG136" s="1543"/>
      <c r="AH136" s="1542" t="s">
        <v>75</v>
      </c>
      <c r="AI136" s="1543"/>
      <c r="AJ136" s="1542" t="s">
        <v>74</v>
      </c>
      <c r="AK136" s="1543"/>
      <c r="AL136" s="1542" t="s">
        <v>73</v>
      </c>
      <c r="AM136" s="1543"/>
      <c r="AN136" s="1547" t="s">
        <v>67</v>
      </c>
      <c r="AO136" s="1548"/>
      <c r="AP136" s="1542" t="s">
        <v>68</v>
      </c>
      <c r="AQ136" s="1543"/>
      <c r="AR136" s="1542" t="s">
        <v>69</v>
      </c>
      <c r="AS136" s="1543"/>
      <c r="AT136" s="1542" t="s">
        <v>70</v>
      </c>
      <c r="AU136" s="1543"/>
      <c r="AV136" s="1542" t="s">
        <v>71</v>
      </c>
      <c r="AW136" s="1543"/>
      <c r="AX136" s="1542" t="s">
        <v>72</v>
      </c>
      <c r="AY136" s="1543"/>
      <c r="BA136" s="200" t="s">
        <v>40</v>
      </c>
      <c r="BB136">
        <f>COUNTIF(B124:BA132,"&gt;0")</f>
        <v>122</v>
      </c>
    </row>
    <row r="137" spans="1:54">
      <c r="AB137" s="1552" t="s">
        <v>79</v>
      </c>
      <c r="AC137" s="1552"/>
      <c r="AD137" s="426">
        <f>AE137-BB134</f>
        <v>0.73498895201509251</v>
      </c>
      <c r="AE137" s="425">
        <f>AF137</f>
        <v>1.9419739049356799</v>
      </c>
      <c r="AF137" s="348">
        <f>AG137-$BB$134</f>
        <v>1.9419739049356799</v>
      </c>
      <c r="AG137" s="423">
        <f>AH137</f>
        <v>3.1489588578562673</v>
      </c>
      <c r="AH137" s="426">
        <f>AI137-$BB$134</f>
        <v>3.1489588578562673</v>
      </c>
      <c r="AI137" s="423">
        <f>AJ137</f>
        <v>4.3559438107768544</v>
      </c>
      <c r="AJ137" s="426">
        <f>AK137-$BB$134</f>
        <v>4.3559438107768544</v>
      </c>
      <c r="AK137" s="423">
        <f>AL137</f>
        <v>5.5629287636974416</v>
      </c>
      <c r="AL137" s="426">
        <f>AM137-$BB$134</f>
        <v>5.5629287636974416</v>
      </c>
      <c r="AM137" s="423">
        <f>AN137</f>
        <v>6.7699137166180288</v>
      </c>
      <c r="AN137" s="422">
        <f>BB135-BB134/2</f>
        <v>6.7699137166180288</v>
      </c>
      <c r="AO137" s="424">
        <f>BB135+BB134/2</f>
        <v>7.9768986695386159</v>
      </c>
      <c r="AP137" s="348">
        <f>AO137</f>
        <v>7.9768986695386159</v>
      </c>
      <c r="AQ137" s="423">
        <f>AP137+BB134</f>
        <v>9.183883622459204</v>
      </c>
      <c r="AR137" s="426">
        <f>AQ137</f>
        <v>9.183883622459204</v>
      </c>
      <c r="AS137" s="423">
        <f>AR137+$BB$134</f>
        <v>10.390868575379791</v>
      </c>
      <c r="AT137" s="426">
        <f>AS137</f>
        <v>10.390868575379791</v>
      </c>
      <c r="AU137" s="423">
        <f>AT137+$BB$134</f>
        <v>11.597853528300378</v>
      </c>
      <c r="AV137" s="426">
        <f>AU137</f>
        <v>11.597853528300378</v>
      </c>
      <c r="AW137" s="423">
        <f>AV137+$BB$134</f>
        <v>12.804838481220965</v>
      </c>
      <c r="AX137" s="426">
        <f>AW137</f>
        <v>12.804838481220965</v>
      </c>
      <c r="AY137" s="423">
        <f>AX137+$BB$134</f>
        <v>14.011823434141553</v>
      </c>
    </row>
    <row r="138" spans="1:54">
      <c r="AN138" s="428"/>
      <c r="AO138" s="355"/>
      <c r="AP138" s="333"/>
      <c r="AQ138" s="2"/>
    </row>
    <row r="139" spans="1:54" ht="13" customHeight="1">
      <c r="C139" s="371"/>
      <c r="D139" s="371"/>
      <c r="E139" s="371"/>
      <c r="F139" s="371"/>
      <c r="G139" s="371"/>
      <c r="H139" s="371"/>
      <c r="I139" s="371"/>
      <c r="J139" s="371"/>
      <c r="K139" s="371"/>
      <c r="V139" s="1060"/>
      <c r="W139" s="1061"/>
      <c r="X139" s="1061"/>
      <c r="Y139" s="1061"/>
      <c r="Z139" s="1061"/>
      <c r="AA139" s="1061"/>
      <c r="AC139" s="421" t="s">
        <v>78</v>
      </c>
      <c r="AD139" s="1521">
        <f>AVERAGE(AD137:AE137)</f>
        <v>1.3384814284753861</v>
      </c>
      <c r="AE139" s="1521"/>
      <c r="AF139" s="1521">
        <f>AVERAGE(AF137:AG137)</f>
        <v>2.5454663813959737</v>
      </c>
      <c r="AG139" s="1521"/>
      <c r="AH139" s="1521">
        <f>AVERAGE(AH137:AI137)</f>
        <v>3.7524513343165609</v>
      </c>
      <c r="AI139" s="1521"/>
      <c r="AJ139" s="1521">
        <f>AVERAGE(AJ137:AK137)</f>
        <v>4.959436287237148</v>
      </c>
      <c r="AK139" s="1521"/>
      <c r="AL139" s="1521">
        <f>AVERAGE(AL137:AM137)</f>
        <v>6.1664212401577352</v>
      </c>
      <c r="AM139" s="1521"/>
      <c r="AN139" s="1549">
        <f>AVERAGE(AN137:AO137)</f>
        <v>7.3734061930783223</v>
      </c>
      <c r="AO139" s="1550"/>
      <c r="AP139" s="1549">
        <f>AVERAGE(AP137:AQ137)</f>
        <v>8.5803911459989095</v>
      </c>
      <c r="AQ139" s="1551"/>
      <c r="AR139" s="1521">
        <f>AVERAGE(AR137:AS137)</f>
        <v>9.7873760989194984</v>
      </c>
      <c r="AS139" s="1521"/>
      <c r="AT139" s="1521">
        <f>AVERAGE(AT137:AU137)</f>
        <v>10.994361051840084</v>
      </c>
      <c r="AU139" s="1521"/>
      <c r="AV139" s="1521">
        <f>AVERAGE(AV137:AW137)</f>
        <v>12.201346004760673</v>
      </c>
      <c r="AW139" s="1521"/>
      <c r="AX139" s="1521">
        <f>AVERAGE(AX137:AY137)</f>
        <v>13.408330957681258</v>
      </c>
      <c r="AY139" s="1521"/>
    </row>
    <row r="140" spans="1:54" ht="14" customHeight="1" thickBot="1">
      <c r="V140" s="1061"/>
      <c r="W140" s="1061"/>
      <c r="X140" s="1061"/>
      <c r="Y140" s="1061"/>
      <c r="Z140" s="1061"/>
      <c r="AA140" s="1061"/>
      <c r="AN140" s="427"/>
      <c r="AO140" s="429"/>
      <c r="AP140" s="427"/>
      <c r="AQ140" s="282"/>
    </row>
    <row r="141" spans="1:54" ht="13" customHeight="1">
      <c r="V141" s="1061"/>
      <c r="W141" s="1061"/>
      <c r="X141" s="1061"/>
      <c r="Y141" s="1061"/>
      <c r="Z141" s="1061"/>
      <c r="AA141" s="1061"/>
      <c r="AB141" s="1532" t="s">
        <v>80</v>
      </c>
      <c r="AC141" s="1533"/>
      <c r="AD141" s="1531">
        <f>AVERAGE(AD137:AE137)</f>
        <v>1.3384814284753861</v>
      </c>
      <c r="AE141" s="1531"/>
      <c r="AF141" s="1531">
        <f>AVERAGE(AF137:AG137)</f>
        <v>2.5454663813959737</v>
      </c>
      <c r="AG141" s="1531"/>
      <c r="AH141" s="1531">
        <f>AVERAGE(AH137:AI137)</f>
        <v>3.7524513343165609</v>
      </c>
      <c r="AI141" s="1531"/>
      <c r="AJ141" s="1531">
        <f>AVERAGE(AJ137:AK137)</f>
        <v>4.959436287237148</v>
      </c>
      <c r="AK141" s="1531"/>
      <c r="AL141" s="1531">
        <f>AVERAGE(AL137:AM137)</f>
        <v>6.1664212401577352</v>
      </c>
      <c r="AM141" s="1531"/>
      <c r="AN141" s="1538">
        <f>AVERAGE(AN137:AO137)</f>
        <v>7.3734061930783223</v>
      </c>
      <c r="AO141" s="1539"/>
      <c r="AP141" s="1531">
        <f>AVERAGE(AP137:AQ137)</f>
        <v>8.5803911459989095</v>
      </c>
      <c r="AQ141" s="1531"/>
      <c r="AR141" s="1531">
        <f>AVERAGE(AR137:AS137)</f>
        <v>9.7873760989194984</v>
      </c>
      <c r="AS141" s="1531"/>
      <c r="AT141" s="1531">
        <f>AVERAGE(AT137:AU137)</f>
        <v>10.994361051840084</v>
      </c>
      <c r="AU141" s="1531"/>
      <c r="AV141" s="1531">
        <f>AVERAGE(AV137:AW137)</f>
        <v>12.201346004760673</v>
      </c>
      <c r="AW141" s="1531"/>
      <c r="AX141" s="1531">
        <f>AVERAGE(AX137:AY137)</f>
        <v>13.408330957681258</v>
      </c>
      <c r="AY141" s="1537"/>
    </row>
    <row r="142" spans="1:54" ht="13" customHeight="1">
      <c r="C142" s="372"/>
      <c r="V142" s="1515" t="s">
        <v>158</v>
      </c>
      <c r="W142" s="1516"/>
      <c r="X142" s="1516"/>
      <c r="Y142" s="1516"/>
      <c r="Z142" s="1517"/>
      <c r="AA142" s="1061"/>
      <c r="AB142" s="1524" t="s">
        <v>81</v>
      </c>
      <c r="AC142" s="1525"/>
      <c r="AD142" s="1530">
        <f>COUNTIF($O$124:$BA$132,"&lt;0,0")</f>
        <v>0</v>
      </c>
      <c r="AE142" s="1418"/>
      <c r="AF142" s="1519">
        <f>COUNTIF($B$124:$BA$132,"&lt;"&amp;AG137)-AD142</f>
        <v>0</v>
      </c>
      <c r="AG142" s="1520"/>
      <c r="AH142" s="1519">
        <f>COUNTIF($B$124:$BA$132,"&lt;"&amp;AI137)-SUM(AD142:AG142)</f>
        <v>0</v>
      </c>
      <c r="AI142" s="1520"/>
      <c r="AJ142" s="1519">
        <f>COUNTIF($B$124:$BA$132,"&lt;"&amp;AK137)-SUM(AD142:AI142)</f>
        <v>15</v>
      </c>
      <c r="AK142" s="1520"/>
      <c r="AL142" s="1519">
        <f>COUNTIF($B$124:$BA$132,"&lt;"&amp;AM137)-SUM(AD142:AK142)</f>
        <v>46</v>
      </c>
      <c r="AM142" s="1520"/>
      <c r="AN142" s="1545">
        <f>COUNTIF($B$124:$BA$132,"&lt;"&amp;AO137)-SUM(AD142:AM142)</f>
        <v>20</v>
      </c>
      <c r="AO142" s="1546"/>
      <c r="AP142" s="1519">
        <f>COUNTIF($B$124:$BA$132,"&lt;"&amp;AQ137)-SUM(AD142:AO142)</f>
        <v>18</v>
      </c>
      <c r="AQ142" s="1520"/>
      <c r="AR142" s="1519">
        <f>COUNTIF($B$124:$BA$132,"&lt;"&amp;AS137)-SUM(AD142:AQ142)</f>
        <v>11</v>
      </c>
      <c r="AS142" s="1520"/>
      <c r="AT142" s="1519">
        <f>COUNTIF($B$124:$BA$132,"&lt;"&amp;AU137)-SUM(AD142:AS142)</f>
        <v>9</v>
      </c>
      <c r="AU142" s="1520"/>
      <c r="AV142" s="1519">
        <f>COUNTIF($B$124:$BA$132,"&lt;"&amp;AW137)-SUM(AD142:AU142)</f>
        <v>3</v>
      </c>
      <c r="AW142" s="1520"/>
      <c r="AX142" s="1530">
        <f>COUNTIF($B$124:$BA$132,"&lt;900")-SUM(AD142:AW142)</f>
        <v>0</v>
      </c>
      <c r="AY142" s="1544"/>
    </row>
    <row r="143" spans="1:54" ht="14" thickBot="1">
      <c r="AB143" s="1528" t="s">
        <v>65</v>
      </c>
      <c r="AC143" s="1529"/>
      <c r="AD143" s="1534">
        <v>0</v>
      </c>
      <c r="AE143" s="1534"/>
      <c r="AF143" s="1534">
        <v>1</v>
      </c>
      <c r="AG143" s="1534"/>
      <c r="AH143" s="1534">
        <v>7</v>
      </c>
      <c r="AI143" s="1534"/>
      <c r="AJ143" s="1534">
        <v>21</v>
      </c>
      <c r="AK143" s="1534"/>
      <c r="AL143" s="1534">
        <v>35</v>
      </c>
      <c r="AM143" s="1534"/>
      <c r="AN143" s="1535">
        <v>35</v>
      </c>
      <c r="AO143" s="1536"/>
      <c r="AP143" s="1534">
        <v>21</v>
      </c>
      <c r="AQ143" s="1534"/>
      <c r="AR143" s="1534">
        <v>7</v>
      </c>
      <c r="AS143" s="1534"/>
      <c r="AT143" s="1534">
        <v>1</v>
      </c>
      <c r="AU143" s="1534"/>
      <c r="AV143" s="1534">
        <v>0</v>
      </c>
      <c r="AW143" s="1534"/>
      <c r="AX143" s="1534">
        <v>0</v>
      </c>
      <c r="AY143" s="1540"/>
    </row>
    <row r="144" spans="1:54" ht="14" thickBot="1"/>
    <row r="145" spans="28:49" ht="16">
      <c r="AD145" s="437" t="s">
        <v>5</v>
      </c>
      <c r="AE145" s="438"/>
      <c r="AF145" s="438" t="s">
        <v>6</v>
      </c>
      <c r="AG145" s="439"/>
      <c r="AH145" s="439"/>
      <c r="AI145" s="439"/>
      <c r="AJ145" s="439"/>
      <c r="AK145" s="439"/>
      <c r="AL145" s="439"/>
      <c r="AM145" s="439"/>
      <c r="AN145" s="440"/>
      <c r="AO145" s="441"/>
      <c r="AP145" s="441"/>
      <c r="AQ145" s="441"/>
      <c r="AR145" s="441"/>
      <c r="AS145" s="441"/>
      <c r="AT145" s="441"/>
      <c r="AU145" s="441"/>
      <c r="AV145" s="442"/>
    </row>
    <row r="146" spans="28:49" ht="17" thickBot="1">
      <c r="AD146" s="443"/>
      <c r="AE146" s="444"/>
      <c r="AF146" s="445" t="s">
        <v>7</v>
      </c>
      <c r="AG146" s="444"/>
      <c r="AH146" s="444"/>
      <c r="AI146" s="444"/>
      <c r="AJ146" s="444"/>
      <c r="AK146" s="444"/>
      <c r="AL146" s="444"/>
      <c r="AM146" s="444"/>
      <c r="AN146" s="444"/>
      <c r="AO146" s="444"/>
      <c r="AP146" s="444"/>
      <c r="AQ146" s="444"/>
      <c r="AR146" s="444"/>
      <c r="AS146" s="444"/>
      <c r="AT146" s="444"/>
      <c r="AU146" s="444"/>
      <c r="AV146" s="446"/>
    </row>
    <row r="147" spans="28:49" ht="18">
      <c r="AG147" s="1518" t="s">
        <v>64</v>
      </c>
      <c r="AH147" s="1518"/>
      <c r="AI147" s="1518"/>
      <c r="AJ147" s="1518"/>
    </row>
    <row r="148" spans="28:49">
      <c r="AB148" s="428"/>
      <c r="AC148" s="430"/>
      <c r="AD148" s="431"/>
      <c r="AE148" s="431">
        <f>AF141</f>
        <v>2.5454663813959737</v>
      </c>
      <c r="AF148" s="431">
        <f>AH141</f>
        <v>3.7524513343165609</v>
      </c>
      <c r="AG148" s="431">
        <f>AJ141</f>
        <v>4.959436287237148</v>
      </c>
      <c r="AH148" s="431">
        <f>AL141</f>
        <v>6.1664212401577352</v>
      </c>
      <c r="AI148" s="431">
        <f>AN141</f>
        <v>7.3734061930783223</v>
      </c>
      <c r="AJ148" s="431">
        <f>AP141</f>
        <v>8.5803911459989095</v>
      </c>
      <c r="AK148" s="431">
        <f>AR141</f>
        <v>9.7873760989194984</v>
      </c>
      <c r="AL148" s="431">
        <f>AT141</f>
        <v>10.994361051840084</v>
      </c>
      <c r="AM148" s="431">
        <f>AV141</f>
        <v>12.201346004760673</v>
      </c>
      <c r="AN148" s="432">
        <f>AX139</f>
        <v>13.408330957681258</v>
      </c>
      <c r="AO148" s="420"/>
      <c r="AP148" s="420"/>
      <c r="AQ148" s="420"/>
      <c r="AR148" s="420"/>
      <c r="AS148" s="420"/>
      <c r="AT148" s="420"/>
      <c r="AU148" s="420"/>
      <c r="AV148" s="420"/>
      <c r="AW148" s="420"/>
    </row>
    <row r="149" spans="28:49">
      <c r="AB149" s="1526" t="str">
        <f>AB142</f>
        <v xml:space="preserve"> Verteilung</v>
      </c>
      <c r="AC149" s="1527"/>
      <c r="AD149" s="433">
        <f>AD142</f>
        <v>0</v>
      </c>
      <c r="AE149" s="433">
        <f>AF142</f>
        <v>0</v>
      </c>
      <c r="AF149" s="433">
        <f>AH142</f>
        <v>0</v>
      </c>
      <c r="AG149" s="433">
        <f>AJ142</f>
        <v>15</v>
      </c>
      <c r="AH149" s="433">
        <f>AL142</f>
        <v>46</v>
      </c>
      <c r="AI149" s="433">
        <f>AN142</f>
        <v>20</v>
      </c>
      <c r="AJ149" s="433">
        <f>AP142</f>
        <v>18</v>
      </c>
      <c r="AK149" s="433">
        <f>AR142</f>
        <v>11</v>
      </c>
      <c r="AL149" s="433">
        <f>AT142</f>
        <v>9</v>
      </c>
      <c r="AM149" s="433">
        <f>AV142</f>
        <v>3</v>
      </c>
      <c r="AN149" s="434">
        <f>AX142</f>
        <v>0</v>
      </c>
    </row>
    <row r="150" spans="28:49">
      <c r="AB150" s="1522" t="str">
        <f>AB143</f>
        <v>Gauß (n=512)</v>
      </c>
      <c r="AC150" s="1523"/>
      <c r="AD150" s="435">
        <f>AD143</f>
        <v>0</v>
      </c>
      <c r="AE150" s="435">
        <v>1</v>
      </c>
      <c r="AF150" s="435">
        <v>8</v>
      </c>
      <c r="AG150" s="435">
        <v>28</v>
      </c>
      <c r="AH150" s="435">
        <v>56</v>
      </c>
      <c r="AI150" s="435">
        <v>70</v>
      </c>
      <c r="AJ150" s="435">
        <v>56</v>
      </c>
      <c r="AK150" s="435">
        <v>28</v>
      </c>
      <c r="AL150" s="435">
        <v>8</v>
      </c>
      <c r="AM150" s="435">
        <v>1</v>
      </c>
      <c r="AN150" s="436">
        <f>AX143</f>
        <v>0</v>
      </c>
    </row>
    <row r="153" spans="28:49">
      <c r="AI153" s="2"/>
      <c r="AJ153" s="2"/>
      <c r="AK153" s="2"/>
      <c r="AL153" s="2"/>
      <c r="AM153" s="2"/>
      <c r="AN153" s="2"/>
      <c r="AO153" s="2"/>
    </row>
    <row r="154" spans="28:49">
      <c r="AI154" s="418"/>
      <c r="AJ154" s="418"/>
      <c r="AK154" s="418"/>
      <c r="AL154" s="418"/>
      <c r="AM154" s="418"/>
      <c r="AN154" s="418"/>
      <c r="AO154" s="418"/>
    </row>
    <row r="198" spans="28:53" ht="14" thickBot="1"/>
    <row r="199" spans="28:53" ht="14" thickBot="1">
      <c r="AC199" s="1" t="s">
        <v>95</v>
      </c>
      <c r="AD199" s="1" t="s">
        <v>42</v>
      </c>
      <c r="AE199" s="1" t="s">
        <v>87</v>
      </c>
      <c r="AG199" s="489" t="s">
        <v>96</v>
      </c>
      <c r="AH199" s="489" t="s">
        <v>97</v>
      </c>
      <c r="AI199" s="489" t="s">
        <v>98</v>
      </c>
      <c r="AK199" s="420" t="s">
        <v>99</v>
      </c>
      <c r="AL199" s="489" t="s">
        <v>100</v>
      </c>
      <c r="AM199" s="489" t="s">
        <v>101</v>
      </c>
      <c r="AO199" s="1562" t="s">
        <v>86</v>
      </c>
      <c r="AP199" s="1563"/>
      <c r="AQ199" s="1562" t="s">
        <v>106</v>
      </c>
      <c r="AR199" s="1564"/>
      <c r="AS199" s="1563" t="s">
        <v>107</v>
      </c>
      <c r="AT199" s="1564"/>
      <c r="AV199" t="s">
        <v>112</v>
      </c>
    </row>
    <row r="200" spans="28:53">
      <c r="AB200" s="493">
        <f>'IN (mmol|L)'!E$106</f>
        <v>41274</v>
      </c>
      <c r="AC200" s="489" t="str">
        <f>IF('IN (mmol|L)'!$E$111=0,"",'IN (mmol|L)'!$E$111)</f>
        <v>15 - 10 - 09/ 10+15</v>
      </c>
      <c r="AD200" s="489" t="str">
        <f>IF('IN (mmol|L)'!$E$112=0,"",'IN (mmol|L)'!$E$112)</f>
        <v>05 - 04 - 03</v>
      </c>
      <c r="AE200" s="489" t="str">
        <f t="shared" ref="AE200:AE209" si="73">IF(OR(AC200="",AD200=0),"",CONCATENATE(IF(LEFT(AC200,2)*LEFT(AD200,2)=0,"X",ROUND(LEFT(AC200,2)/LEFT(AD200,2),1))," - ",IF(MID(AC200,6,2)*MID(AD200,6,2)=0,"X",ROUND(MID(AC200,6,2)/MID(AD200,6,2),1))," - ",IF(MID(AC200,11,2)*MID(AD200,11,2)=0,"X",ROUND(MID(AC200,11,2)/MID(AD200,11,2),1))))</f>
        <v>3 - 2,5 - 3</v>
      </c>
      <c r="AG200" s="1">
        <f>IF(LEFT(AC200,2)*LEFT(AD200,2)=0,"X",ROUND(LEFT(AC200,2)/LEFT(AD200,2),1))</f>
        <v>3</v>
      </c>
      <c r="AH200" s="1">
        <f>IF(MID(AC200,6,2)*MID(AD200,6,2)=0,"X",ROUND(MID(AC200,6,2)/MID(AD200,6,2),1))</f>
        <v>2.5</v>
      </c>
      <c r="AI200" s="1">
        <f>IF(MID(AC200,11,2)*MID(AD200,11,2)=0,"X",ROUND(MID(AC200,11,2)/MID(AD200,11,2),1))</f>
        <v>3</v>
      </c>
      <c r="AK200" s="1245">
        <f>'IN (mmol|L)'!$E$98</f>
        <v>12.111111111111111</v>
      </c>
      <c r="AL200" s="1245">
        <f>'IN (mmol|L)'!$E$100</f>
        <v>7.0555555555555554</v>
      </c>
      <c r="AM200" s="1245">
        <f>'IN (mmol|L)'!$E$102</f>
        <v>5.9444444444444446</v>
      </c>
      <c r="AO200" s="1556" t="str">
        <f t="shared" ref="AO200:AO209" si="74">IF(AK200=0," ",IF(AND(AK200&gt;$AL$212,AK200&lt;$AL$213),"ok",IF(AK200&lt;$AL$212,"-","+")))</f>
        <v>+</v>
      </c>
      <c r="AP200" s="1557"/>
      <c r="AQ200" s="1556" t="str">
        <f t="shared" ref="AQ200:AQ209" si="75">IF(AL200=0," ",IF(AND(AL200&gt;$AL$212,AL200&lt;$AL$213),"ok",IF(AL200&lt;$AL$212,"-","+")))</f>
        <v>ok</v>
      </c>
      <c r="AR200" s="1557"/>
      <c r="AS200" s="1556" t="str">
        <f t="shared" ref="AS200:AS209" si="76">IF(AM200=0," ",IF(AND(AM200&gt;$AL$212,AM200&lt;$AL$213),"ok",IF(AM200&lt;$AL$212,"-","+")))</f>
        <v>ok</v>
      </c>
      <c r="AT200" s="1557"/>
      <c r="AV200">
        <f>COUNTIF(AO200:AT200,"+")</f>
        <v>1</v>
      </c>
      <c r="AW200">
        <f>COUNTIF(AO200:AT200,"-")</f>
        <v>0</v>
      </c>
      <c r="AX200" t="str">
        <f>IF(AV200&gt;AW200,"Faktor höher: ",IF(AW200&gt;AV200,"Faktor niedriger: ","weiter so"))</f>
        <v xml:space="preserve">Faktor höher: </v>
      </c>
      <c r="AZ200">
        <f>MAX(AV200:AW200)</f>
        <v>1</v>
      </c>
      <c r="BA200" t="str">
        <f>IF(SUM(AV200:AW200)=0,AX200,CONCATENATE(AX200,AZ200,"x"))</f>
        <v>Faktor höher: 1x</v>
      </c>
    </row>
    <row r="201" spans="28:53">
      <c r="AB201" s="493">
        <f>'IN (mmol|L)'!F$106</f>
        <v>41277.5</v>
      </c>
      <c r="AC201" s="489" t="str">
        <f>IF('IN (mmol|L)'!$F$111=0,"",'IN (mmol|L)'!$F$111)</f>
        <v>15 - 10 - 09/ 10+15</v>
      </c>
      <c r="AD201" s="489" t="str">
        <f>IF('IN (mmol|L)'!$F$112=0,"",'IN (mmol|L)'!$F$112)</f>
        <v>05 - 04 - 03</v>
      </c>
      <c r="AE201" s="489" t="str">
        <f t="shared" si="73"/>
        <v>3 - 2,5 - 3</v>
      </c>
      <c r="AF201" s="261"/>
      <c r="AG201" s="1">
        <f t="shared" ref="AG201:AG209" si="77">IF(LEFT(AC201,2)*LEFT(AD201,2)=0,"X",ROUND(LEFT(AC201,2)/LEFT(AD201,2),1))</f>
        <v>3</v>
      </c>
      <c r="AH201" s="1">
        <f t="shared" ref="AH201:AH209" si="78">IF(MID(AC201,6,2)*MID(AD201,6,2)=0,"X",ROUND(MID(AC201,6,2)/MID(AD201,6,2),1))</f>
        <v>2.5</v>
      </c>
      <c r="AI201" s="1">
        <f t="shared" ref="AI201:AI209" si="79">IF(MID(AC201,11,2)*MID(AD201,11,2)=0,"X",ROUND(MID(AC201,11,2)/MID(AD201,11,2),1))</f>
        <v>3</v>
      </c>
      <c r="AJ201" s="261"/>
      <c r="AK201" s="1245">
        <f>'IN (mmol|L)'!$F$98</f>
        <v>9.8888888888888893</v>
      </c>
      <c r="AL201" s="1245">
        <f>'IN (mmol|L)'!$F$100</f>
        <v>8.7222222222222214</v>
      </c>
      <c r="AM201" s="1245">
        <f>'IN (mmol|L)'!$F$102</f>
        <v>10.722222222222221</v>
      </c>
      <c r="AO201" s="1558" t="str">
        <f t="shared" si="74"/>
        <v>+</v>
      </c>
      <c r="AP201" s="1559"/>
      <c r="AQ201" s="1558" t="str">
        <f t="shared" si="75"/>
        <v>ok</v>
      </c>
      <c r="AR201" s="1559"/>
      <c r="AS201" s="1558" t="str">
        <f t="shared" si="76"/>
        <v>+</v>
      </c>
      <c r="AT201" s="1559"/>
      <c r="AV201">
        <f t="shared" ref="AV201:AV209" si="80">COUNTIF(AO201:AT201,"+")</f>
        <v>2</v>
      </c>
      <c r="AW201">
        <f t="shared" ref="AW201:AW209" si="81">COUNTIF(AO201:AT201,"-")</f>
        <v>0</v>
      </c>
      <c r="AX201" t="str">
        <f t="shared" ref="AX201:AX209" si="82">IF(AV201&gt;AW201,"Faktor höher: ",IF(AW201&gt;AV201,"Faktor niedriger: ","weiter so"))</f>
        <v xml:space="preserve">Faktor höher: </v>
      </c>
      <c r="AZ201">
        <f t="shared" ref="AZ201:AZ209" si="83">MAX(AV201:AW201)</f>
        <v>2</v>
      </c>
      <c r="BA201" t="str">
        <f t="shared" ref="BA201:BA209" si="84">IF(SUM(AV201:AW201)=0,AX201,CONCATENATE(AX201,AZ201,"x"))</f>
        <v>Faktor höher: 2x</v>
      </c>
    </row>
    <row r="202" spans="28:53">
      <c r="AB202" s="493">
        <f>'IN (mmol|L)'!G$106</f>
        <v>41281</v>
      </c>
      <c r="AC202" s="489" t="str">
        <f>IF('IN (mmol|L)'!$G$111=0,"",'IN (mmol|L)'!$G$111)</f>
        <v>15 - 10 - 09/ 10+15</v>
      </c>
      <c r="AD202" s="489" t="str">
        <f>IF('IN (mmol|L)'!$G$112=0,"",'IN (mmol|L)'!$G$112)</f>
        <v>05 - 04 - 03</v>
      </c>
      <c r="AE202" s="489" t="str">
        <f t="shared" si="73"/>
        <v>3 - 2,5 - 3</v>
      </c>
      <c r="AG202" s="1">
        <f t="shared" si="77"/>
        <v>3</v>
      </c>
      <c r="AH202" s="1">
        <f t="shared" si="78"/>
        <v>2.5</v>
      </c>
      <c r="AI202" s="1">
        <f t="shared" si="79"/>
        <v>3</v>
      </c>
      <c r="AK202" s="1245">
        <f>'IN (mmol|L)'!$G$98</f>
        <v>8.1999999999999993</v>
      </c>
      <c r="AL202" s="1245">
        <f>'IN (mmol|L)'!$G$100</f>
        <v>10.6</v>
      </c>
      <c r="AM202" s="1245">
        <f>'IN (mmol|L)'!$G$102</f>
        <v>7.7</v>
      </c>
      <c r="AO202" s="1558" t="str">
        <f t="shared" si="74"/>
        <v>ok</v>
      </c>
      <c r="AP202" s="1559"/>
      <c r="AQ202" s="1558" t="str">
        <f t="shared" si="75"/>
        <v>+</v>
      </c>
      <c r="AR202" s="1559"/>
      <c r="AS202" s="1558" t="str">
        <f t="shared" si="76"/>
        <v>ok</v>
      </c>
      <c r="AT202" s="1559"/>
      <c r="AV202">
        <f t="shared" si="80"/>
        <v>1</v>
      </c>
      <c r="AW202">
        <f t="shared" si="81"/>
        <v>0</v>
      </c>
      <c r="AX202" t="str">
        <f t="shared" si="82"/>
        <v xml:space="preserve">Faktor höher: </v>
      </c>
      <c r="AZ202">
        <f t="shared" si="83"/>
        <v>1</v>
      </c>
      <c r="BA202" t="str">
        <f t="shared" si="84"/>
        <v>Faktor höher: 1x</v>
      </c>
    </row>
    <row r="203" spans="28:53">
      <c r="AB203" s="493">
        <f>'IN (mmol|L)'!H$106</f>
        <v>41284.5</v>
      </c>
      <c r="AC203" s="489" t="str">
        <f>IF('IN (mmol|L)'!$H$111=0,"",'IN (mmol|L)'!$H$111)</f>
        <v>15 - 10 - 09/ 10+15</v>
      </c>
      <c r="AD203" s="489" t="str">
        <f>IF('IN (mmol|L)'!$H$112=0,"",'IN (mmol|L)'!$H$112)</f>
        <v>05 - 04 - 03</v>
      </c>
      <c r="AE203" s="489" t="str">
        <f t="shared" si="73"/>
        <v>3 - 2,5 - 3</v>
      </c>
      <c r="AG203" s="1">
        <f t="shared" si="77"/>
        <v>3</v>
      </c>
      <c r="AH203" s="1">
        <f t="shared" si="78"/>
        <v>2.5</v>
      </c>
      <c r="AI203" s="1">
        <f t="shared" si="79"/>
        <v>3</v>
      </c>
      <c r="AK203" s="1245">
        <f>'IN (mmol|L)'!$H$98</f>
        <v>9.1</v>
      </c>
      <c r="AL203" s="1245">
        <f>'IN (mmol|L)'!$H$100</f>
        <v>6.2</v>
      </c>
      <c r="AM203" s="1245">
        <f>'IN (mmol|L)'!$H$102</f>
        <v>10.7</v>
      </c>
      <c r="AO203" s="1558" t="str">
        <f t="shared" si="74"/>
        <v>ok</v>
      </c>
      <c r="AP203" s="1559"/>
      <c r="AQ203" s="1558" t="str">
        <f t="shared" si="75"/>
        <v>ok</v>
      </c>
      <c r="AR203" s="1559"/>
      <c r="AS203" s="1558" t="str">
        <f t="shared" si="76"/>
        <v>+</v>
      </c>
      <c r="AT203" s="1559"/>
      <c r="AV203">
        <f t="shared" si="80"/>
        <v>1</v>
      </c>
      <c r="AW203">
        <f t="shared" si="81"/>
        <v>0</v>
      </c>
      <c r="AX203" t="str">
        <f t="shared" si="82"/>
        <v xml:space="preserve">Faktor höher: </v>
      </c>
      <c r="AZ203">
        <f t="shared" si="83"/>
        <v>1</v>
      </c>
      <c r="BA203" t="str">
        <f t="shared" si="84"/>
        <v>Faktor höher: 1x</v>
      </c>
    </row>
    <row r="204" spans="28:53">
      <c r="AB204" s="493">
        <f>'IN (mmol|L)'!I$106</f>
        <v>41288</v>
      </c>
      <c r="AC204" s="489" t="str">
        <f>IF('IN (mmol|L)'!$I$111=0,"",'IN (mmol|L)'!$I$111)</f>
        <v>15 - 10 - 09/ 10+15</v>
      </c>
      <c r="AD204" s="489" t="str">
        <f>IF('IN (mmol|L)'!$I$112=0,"",'IN (mmol|L)'!$I$112)</f>
        <v>05 - 04 - 03</v>
      </c>
      <c r="AE204" s="489" t="str">
        <f t="shared" si="73"/>
        <v>3 - 2,5 - 3</v>
      </c>
      <c r="AG204" s="1">
        <f t="shared" si="77"/>
        <v>3</v>
      </c>
      <c r="AH204" s="1">
        <f t="shared" si="78"/>
        <v>2.5</v>
      </c>
      <c r="AI204" s="1">
        <f t="shared" si="79"/>
        <v>3</v>
      </c>
      <c r="AK204" s="1245">
        <f>'IN (mmol|L)'!$I$98</f>
        <v>0</v>
      </c>
      <c r="AL204" s="1245">
        <f>'IN (mmol|L)'!$I$100</f>
        <v>6.8</v>
      </c>
      <c r="AM204" s="1245">
        <f>'IN (mmol|L)'!$I$102</f>
        <v>7</v>
      </c>
      <c r="AO204" s="1558" t="str">
        <f t="shared" si="74"/>
        <v xml:space="preserve"> </v>
      </c>
      <c r="AP204" s="1559"/>
      <c r="AQ204" s="1558" t="str">
        <f t="shared" si="75"/>
        <v>ok</v>
      </c>
      <c r="AR204" s="1559"/>
      <c r="AS204" s="1558" t="str">
        <f t="shared" si="76"/>
        <v>ok</v>
      </c>
      <c r="AT204" s="1559"/>
      <c r="AV204">
        <f t="shared" si="80"/>
        <v>0</v>
      </c>
      <c r="AW204">
        <f t="shared" si="81"/>
        <v>0</v>
      </c>
      <c r="AX204" t="str">
        <f t="shared" si="82"/>
        <v>weiter so</v>
      </c>
      <c r="AZ204">
        <f t="shared" si="83"/>
        <v>0</v>
      </c>
      <c r="BA204" t="str">
        <f t="shared" si="84"/>
        <v>weiter so</v>
      </c>
    </row>
    <row r="205" spans="28:53">
      <c r="AB205" s="493">
        <f>'IN (mmol|L)'!J$106</f>
        <v>41291.5</v>
      </c>
      <c r="AC205" s="489" t="str">
        <f>IF('IN (mmol|L)'!$J$111=0,"",'IN (mmol|L)'!$J$111)</f>
        <v>15 - 10 - 09/ 10+15</v>
      </c>
      <c r="AD205" s="489" t="str">
        <f>IF('IN (mmol|L)'!$J$112=0,"",'IN (mmol|L)'!$J$112)</f>
        <v>05 - 04 - 03</v>
      </c>
      <c r="AE205" s="489" t="str">
        <f t="shared" si="73"/>
        <v>3 - 2,5 - 3</v>
      </c>
      <c r="AG205" s="1">
        <f t="shared" si="77"/>
        <v>3</v>
      </c>
      <c r="AH205" s="1">
        <f t="shared" si="78"/>
        <v>2.5</v>
      </c>
      <c r="AI205" s="1">
        <f t="shared" si="79"/>
        <v>3</v>
      </c>
      <c r="AK205" s="1245">
        <f>'IN (mmol|L)'!$J$98</f>
        <v>10.3</v>
      </c>
      <c r="AL205" s="1245">
        <f>'IN (mmol|L)'!$J$100</f>
        <v>5.4</v>
      </c>
      <c r="AM205" s="1245">
        <f>'IN (mmol|L)'!$J$102</f>
        <v>11.9</v>
      </c>
      <c r="AO205" s="1558" t="str">
        <f t="shared" si="74"/>
        <v>+</v>
      </c>
      <c r="AP205" s="1559"/>
      <c r="AQ205" s="1558" t="str">
        <f t="shared" si="75"/>
        <v>ok</v>
      </c>
      <c r="AR205" s="1559"/>
      <c r="AS205" s="1558" t="str">
        <f t="shared" si="76"/>
        <v>+</v>
      </c>
      <c r="AT205" s="1559"/>
      <c r="AV205">
        <f t="shared" si="80"/>
        <v>2</v>
      </c>
      <c r="AW205">
        <f t="shared" si="81"/>
        <v>0</v>
      </c>
      <c r="AX205" t="str">
        <f t="shared" si="82"/>
        <v xml:space="preserve">Faktor höher: </v>
      </c>
      <c r="AZ205">
        <f t="shared" si="83"/>
        <v>2</v>
      </c>
      <c r="BA205" t="str">
        <f t="shared" si="84"/>
        <v>Faktor höher: 2x</v>
      </c>
    </row>
    <row r="206" spans="28:53">
      <c r="AB206" s="493">
        <f>'IN (mmol|L)'!K$106</f>
        <v>41295</v>
      </c>
      <c r="AC206" s="489" t="str">
        <f>IF('IN (mmol|L)'!$K$111=0,"",'IN (mmol|L)'!$K$111)</f>
        <v>15 - 10 - 09/ 10+15</v>
      </c>
      <c r="AD206" s="489" t="str">
        <f>IF('IN (mmol|L)'!$K$112=0,"",'IN (mmol|L)'!$K$112)</f>
        <v>05 - 04 - 03</v>
      </c>
      <c r="AE206" s="489" t="str">
        <f t="shared" si="73"/>
        <v>3 - 2,5 - 3</v>
      </c>
      <c r="AG206" s="1">
        <f t="shared" si="77"/>
        <v>3</v>
      </c>
      <c r="AH206" s="1">
        <f t="shared" si="78"/>
        <v>2.5</v>
      </c>
      <c r="AI206" s="1">
        <f t="shared" si="79"/>
        <v>3</v>
      </c>
      <c r="AK206" s="1245">
        <f>'IN (mmol|L)'!$K$98</f>
        <v>10.5</v>
      </c>
      <c r="AL206" s="1245">
        <f>'IN (mmol|L)'!$K$100</f>
        <v>0</v>
      </c>
      <c r="AM206" s="1245">
        <f>'IN (mmol|L)'!$K$102</f>
        <v>10.8</v>
      </c>
      <c r="AO206" s="1558" t="str">
        <f t="shared" si="74"/>
        <v>+</v>
      </c>
      <c r="AP206" s="1559"/>
      <c r="AQ206" s="1558" t="str">
        <f t="shared" si="75"/>
        <v xml:space="preserve"> </v>
      </c>
      <c r="AR206" s="1559"/>
      <c r="AS206" s="1558" t="str">
        <f t="shared" si="76"/>
        <v>+</v>
      </c>
      <c r="AT206" s="1559"/>
      <c r="AV206">
        <f t="shared" si="80"/>
        <v>2</v>
      </c>
      <c r="AW206">
        <f t="shared" si="81"/>
        <v>0</v>
      </c>
      <c r="AX206" t="str">
        <f t="shared" si="82"/>
        <v xml:space="preserve">Faktor höher: </v>
      </c>
      <c r="AZ206">
        <f t="shared" si="83"/>
        <v>2</v>
      </c>
      <c r="BA206" t="str">
        <f t="shared" si="84"/>
        <v>Faktor höher: 2x</v>
      </c>
    </row>
    <row r="207" spans="28:53">
      <c r="AB207" s="493">
        <f>'IN (mmol|L)'!L$106</f>
        <v>41298.5</v>
      </c>
      <c r="AC207" s="489" t="str">
        <f>IF('IN (mmol|L)'!$L$111=0,"",'IN (mmol|L)'!$L$111)</f>
        <v>15 - 10 - 09/ 10+15</v>
      </c>
      <c r="AD207" s="489" t="str">
        <f>IF('IN (mmol|L)'!$L$112=0,"",'IN (mmol|L)'!$L$112)</f>
        <v>05 - 04 - 03</v>
      </c>
      <c r="AE207" s="489" t="str">
        <f t="shared" si="73"/>
        <v>3 - 2,5 - 3</v>
      </c>
      <c r="AG207" s="1">
        <f t="shared" si="77"/>
        <v>3</v>
      </c>
      <c r="AH207" s="1">
        <f t="shared" si="78"/>
        <v>2.5</v>
      </c>
      <c r="AI207" s="1">
        <f t="shared" si="79"/>
        <v>3</v>
      </c>
      <c r="AK207" s="1245">
        <f>'IN (mmol|L)'!$L$98</f>
        <v>9.6</v>
      </c>
      <c r="AL207" s="1245">
        <f>'IN (mmol|L)'!$L$100</f>
        <v>4.5</v>
      </c>
      <c r="AM207" s="1245">
        <f>'IN (mmol|L)'!$L$102</f>
        <v>5.2</v>
      </c>
      <c r="AO207" s="1558" t="str">
        <f t="shared" si="74"/>
        <v>+</v>
      </c>
      <c r="AP207" s="1559"/>
      <c r="AQ207" s="1558" t="str">
        <f t="shared" si="75"/>
        <v>ok</v>
      </c>
      <c r="AR207" s="1559"/>
      <c r="AS207" s="1558" t="str">
        <f t="shared" si="76"/>
        <v>ok</v>
      </c>
      <c r="AT207" s="1559"/>
      <c r="AV207">
        <f t="shared" si="80"/>
        <v>1</v>
      </c>
      <c r="AW207">
        <f t="shared" si="81"/>
        <v>0</v>
      </c>
      <c r="AX207" t="str">
        <f t="shared" si="82"/>
        <v xml:space="preserve">Faktor höher: </v>
      </c>
      <c r="AZ207">
        <f t="shared" si="83"/>
        <v>1</v>
      </c>
      <c r="BA207" t="str">
        <f t="shared" si="84"/>
        <v>Faktor höher: 1x</v>
      </c>
    </row>
    <row r="208" spans="28:53">
      <c r="AB208" s="493">
        <f>'IN (mmol|L)'!M$106</f>
        <v>41302</v>
      </c>
      <c r="AC208" s="489" t="str">
        <f>IF('IN (mmol|L)'!$M$111=0,"",'IN (mmol|L)'!$M$111)</f>
        <v>15 - 10 - 09/ 10+15</v>
      </c>
      <c r="AD208" s="489" t="str">
        <f>IF('IN (mmol|L)'!$M$112=0,"",'IN (mmol|L)'!$M$112)</f>
        <v>05 - 04 - 03</v>
      </c>
      <c r="AE208" s="489" t="str">
        <f t="shared" si="73"/>
        <v>3 - 2,5 - 3</v>
      </c>
      <c r="AG208" s="1">
        <f t="shared" si="77"/>
        <v>3</v>
      </c>
      <c r="AH208" s="1">
        <f t="shared" si="78"/>
        <v>2.5</v>
      </c>
      <c r="AI208" s="1">
        <f t="shared" si="79"/>
        <v>3</v>
      </c>
      <c r="AK208" s="1245">
        <f>'IN (mmol|L)'!$M$98</f>
        <v>0</v>
      </c>
      <c r="AL208" s="1245">
        <f>'IN (mmol|L)'!$M$100</f>
        <v>0</v>
      </c>
      <c r="AM208" s="1245">
        <f>'IN (mmol|L)'!$M$102</f>
        <v>5.2</v>
      </c>
      <c r="AO208" s="1558" t="str">
        <f t="shared" si="74"/>
        <v xml:space="preserve"> </v>
      </c>
      <c r="AP208" s="1559"/>
      <c r="AQ208" s="1558" t="str">
        <f t="shared" si="75"/>
        <v xml:space="preserve"> </v>
      </c>
      <c r="AR208" s="1559"/>
      <c r="AS208" s="1558" t="str">
        <f t="shared" si="76"/>
        <v>ok</v>
      </c>
      <c r="AT208" s="1559"/>
      <c r="AV208">
        <f t="shared" si="80"/>
        <v>0</v>
      </c>
      <c r="AW208">
        <f t="shared" si="81"/>
        <v>0</v>
      </c>
      <c r="AX208" t="str">
        <f t="shared" si="82"/>
        <v>weiter so</v>
      </c>
      <c r="AZ208">
        <f t="shared" si="83"/>
        <v>0</v>
      </c>
      <c r="BA208" t="str">
        <f t="shared" si="84"/>
        <v>weiter so</v>
      </c>
    </row>
    <row r="209" spans="28:56" ht="14" thickBot="1">
      <c r="AB209" s="493">
        <f>'IN (mmol|L)'!N$106</f>
        <v>41305.5</v>
      </c>
      <c r="AC209" s="489" t="str">
        <f>IF('IN (mmol|L)'!$N$111=0,"",'IN (mmol|L)'!$N$111)</f>
        <v>15 - 10 - 09/ 10+15</v>
      </c>
      <c r="AD209" s="489" t="str">
        <f>IF('IN (mmol|L)'!$N$112=0,"",'IN (mmol|L)'!$N$112)</f>
        <v>05 - 04 - 03</v>
      </c>
      <c r="AE209" s="489" t="str">
        <f t="shared" si="73"/>
        <v>3 - 2,5 - 3</v>
      </c>
      <c r="AG209" s="1">
        <f t="shared" si="77"/>
        <v>3</v>
      </c>
      <c r="AH209" s="1">
        <f t="shared" si="78"/>
        <v>2.5</v>
      </c>
      <c r="AI209" s="1">
        <f t="shared" si="79"/>
        <v>3</v>
      </c>
      <c r="AK209" s="1245">
        <f>'IN (mmol|L)'!$N$98</f>
        <v>9.4</v>
      </c>
      <c r="AL209" s="1245">
        <f>'IN (mmol|L)'!$N$100</f>
        <v>6</v>
      </c>
      <c r="AM209" s="1245">
        <f>'IN (mmol|L)'!$N$102</f>
        <v>8.6999999999999993</v>
      </c>
      <c r="AO209" s="1560" t="str">
        <f t="shared" si="74"/>
        <v>+</v>
      </c>
      <c r="AP209" s="1561"/>
      <c r="AQ209" s="1560" t="str">
        <f t="shared" si="75"/>
        <v>ok</v>
      </c>
      <c r="AR209" s="1561"/>
      <c r="AS209" s="1560" t="str">
        <f t="shared" si="76"/>
        <v>ok</v>
      </c>
      <c r="AT209" s="1561"/>
      <c r="AV209">
        <f t="shared" si="80"/>
        <v>1</v>
      </c>
      <c r="AW209">
        <f t="shared" si="81"/>
        <v>0</v>
      </c>
      <c r="AX209" t="str">
        <f t="shared" si="82"/>
        <v xml:space="preserve">Faktor höher: </v>
      </c>
      <c r="AZ209">
        <f t="shared" si="83"/>
        <v>1</v>
      </c>
      <c r="BA209" t="str">
        <f t="shared" si="84"/>
        <v>Faktor höher: 1x</v>
      </c>
    </row>
    <row r="210" spans="28:56" ht="14" thickBot="1">
      <c r="AB210" s="487"/>
      <c r="AC210" s="487"/>
      <c r="AD210" s="487"/>
      <c r="AK210" s="420"/>
      <c r="AN210" s="1"/>
      <c r="AO210" s="1" t="s">
        <v>86</v>
      </c>
      <c r="AP210" s="1" t="s">
        <v>106</v>
      </c>
      <c r="AQ210" s="1" t="s">
        <v>107</v>
      </c>
    </row>
    <row r="211" spans="28:56">
      <c r="AB211" s="1246" t="str">
        <f>IF('IN (mmol|L)'!$E122=0,"",'IN (mmol|L)'!$E122)</f>
        <v/>
      </c>
      <c r="AC211" s="1246" t="str">
        <f>IF('IN (mmol|L)'!$E123=0,"",'IN (mmol|L)'!$E123)</f>
        <v/>
      </c>
      <c r="AD211" s="487" t="str">
        <f t="shared" ref="AD211:AD219" si="85">IF(OR(AB211="",AC211=0),"",CONCATENATE(IF(LEFT(AB211,2)*LEFT(AC211,2)=0,"X",ROUND(LEFT(AB211,2)/LEFT(AC211,2),1))," - ",IF(MID(AB211,6,2)*MID(AC211,6,2)=0,"X",ROUND(MID(AB211,6,2)/MID(AC211,6,2),1))," - ",IF(MID(AB211,11,2)*MID(AC211,11,2)=0,"X",ROUND(MID(AB211,11,2)/MID(AC211,11,2),1))))</f>
        <v/>
      </c>
      <c r="AK211" s="1553" t="s">
        <v>104</v>
      </c>
      <c r="AL211" s="1554"/>
      <c r="AM211" s="1555"/>
      <c r="AN211" s="1" t="s">
        <v>108</v>
      </c>
      <c r="AO211" s="1">
        <f>COUNTIF(AO200:AP209,"+")</f>
        <v>6</v>
      </c>
      <c r="AP211" s="1">
        <f>COUNTIF(AQ200:AR209,"+")</f>
        <v>1</v>
      </c>
      <c r="AQ211" s="1">
        <f>COUNTIF(AS200:AT209,"+")</f>
        <v>4</v>
      </c>
    </row>
    <row r="212" spans="28:56">
      <c r="AB212" s="1246" t="str">
        <f>IF('IN (mmol|L)'!$E123=0,"",'IN (mmol|L)'!$E123)</f>
        <v/>
      </c>
      <c r="AC212" s="1246" t="str">
        <f>IF('IN (mmol|L)'!$E124=0,"",'IN (mmol|L)'!$E124)</f>
        <v/>
      </c>
      <c r="AD212" s="487" t="str">
        <f t="shared" si="85"/>
        <v/>
      </c>
      <c r="AK212" s="521" t="s">
        <v>102</v>
      </c>
      <c r="AL212" s="491">
        <f>Zwischendurch!S47</f>
        <v>3.3</v>
      </c>
      <c r="AM212" s="545" t="s">
        <v>105</v>
      </c>
      <c r="AN212" s="1" t="s">
        <v>110</v>
      </c>
      <c r="AO212" s="1">
        <f>COUNTIF(AO200:AP209,"ok")</f>
        <v>2</v>
      </c>
      <c r="AP212" s="1">
        <f>COUNTIF(AQ200:AR209,"ok")</f>
        <v>7</v>
      </c>
      <c r="AQ212" s="1">
        <f>COUNTIF(AS200:AT209,"ok")</f>
        <v>6</v>
      </c>
    </row>
    <row r="213" spans="28:56" ht="14" thickBot="1">
      <c r="AB213" s="1246" t="str">
        <f>IF('IN (mmol|L)'!$E124=0,"",'IN (mmol|L)'!$E124)</f>
        <v/>
      </c>
      <c r="AC213" s="1246" t="str">
        <f>IF('IN (mmol|L)'!$E125=0,"",'IN (mmol|L)'!$E125)</f>
        <v/>
      </c>
      <c r="AD213" s="487" t="str">
        <f t="shared" si="85"/>
        <v/>
      </c>
      <c r="AK213" s="522" t="s">
        <v>103</v>
      </c>
      <c r="AL213" s="492">
        <f>Zwischendurch!S49</f>
        <v>9.1999999999999993</v>
      </c>
      <c r="AM213" s="546" t="s">
        <v>105</v>
      </c>
      <c r="AN213" s="1" t="s">
        <v>109</v>
      </c>
      <c r="AO213" s="1">
        <f>COUNTIF(AO200:AP209,"-")</f>
        <v>0</v>
      </c>
      <c r="AP213" s="1">
        <f>COUNTIF(AQ200:AR209,"-")</f>
        <v>0</v>
      </c>
      <c r="AQ213" s="1">
        <f>COUNTIF(AS200:AT209,"-")</f>
        <v>0</v>
      </c>
    </row>
    <row r="214" spans="28:56">
      <c r="AB214" s="1246" t="str">
        <f>IF('IN (mmol|L)'!$E125=0,"",'IN (mmol|L)'!$E125)</f>
        <v/>
      </c>
      <c r="AC214" s="1246" t="str">
        <f>IF('IN (mmol|L)'!$E126=0,"",'IN (mmol|L)'!$E126)</f>
        <v/>
      </c>
      <c r="AD214" s="487" t="str">
        <f t="shared" si="85"/>
        <v/>
      </c>
      <c r="AN214" s="1" t="s">
        <v>111</v>
      </c>
      <c r="AO214" s="1">
        <f>COUNTIF(AO200:AP209," ")</f>
        <v>2</v>
      </c>
      <c r="AP214" s="1">
        <f>COUNTIF(AQ200:AR209," ")</f>
        <v>2</v>
      </c>
      <c r="AQ214" s="1">
        <f>COUNTIF(AS200:AT209," ")</f>
        <v>0</v>
      </c>
    </row>
    <row r="215" spans="28:56">
      <c r="AB215" s="1246" t="str">
        <f>IF('IN (mmol|L)'!$E126=0,"",'IN (mmol|L)'!$E126)</f>
        <v/>
      </c>
      <c r="AC215" s="1246" t="str">
        <f>IF('IN (mmol|L)'!$E127=0,"",'IN (mmol|L)'!$E127)</f>
        <v/>
      </c>
      <c r="AD215" s="487" t="str">
        <f t="shared" si="85"/>
        <v/>
      </c>
      <c r="AG215" s="490"/>
      <c r="AH215" s="488"/>
      <c r="AI215" s="488"/>
      <c r="AJ215" s="488"/>
      <c r="AK215" s="488"/>
      <c r="AL215" s="488"/>
      <c r="AM215" s="488"/>
      <c r="AN215" s="488"/>
      <c r="AO215" s="488"/>
      <c r="AP215" s="488"/>
      <c r="AQ215" s="488"/>
      <c r="AR215" s="488"/>
      <c r="AS215" s="488"/>
      <c r="AT215" s="488"/>
      <c r="AU215" s="488"/>
      <c r="AV215" s="488"/>
      <c r="AW215" s="488"/>
      <c r="AX215" s="488"/>
      <c r="AY215" s="488"/>
      <c r="AZ215" s="488"/>
      <c r="BA215" s="488"/>
      <c r="BB215" s="488"/>
      <c r="BC215" s="488"/>
      <c r="BD215" s="488"/>
    </row>
    <row r="216" spans="28:56">
      <c r="AB216" s="1246" t="str">
        <f>IF('IN (mmol|L)'!$E127=0,"",'IN (mmol|L)'!$E127)</f>
        <v/>
      </c>
      <c r="AC216" s="1246" t="str">
        <f>IF('IN (mmol|L)'!$E128=0,"",'IN (mmol|L)'!$E128)</f>
        <v/>
      </c>
      <c r="AD216" s="487" t="str">
        <f t="shared" si="85"/>
        <v/>
      </c>
    </row>
    <row r="217" spans="28:56">
      <c r="AB217" s="1246" t="str">
        <f>IF('IN (mmol|L)'!$E128=0,"",'IN (mmol|L)'!$E128)</f>
        <v/>
      </c>
      <c r="AC217" s="1246" t="str">
        <f>IF('IN (mmol|L)'!$E129=0,"",'IN (mmol|L)'!$E129)</f>
        <v/>
      </c>
      <c r="AD217" s="487" t="str">
        <f t="shared" si="85"/>
        <v/>
      </c>
    </row>
    <row r="218" spans="28:56">
      <c r="AB218" s="1246" t="str">
        <f>IF('IN (mmol|L)'!$E129=0,"",'IN (mmol|L)'!$E129)</f>
        <v/>
      </c>
      <c r="AC218" s="1246" t="str">
        <f>IF('IN (mmol|L)'!$E130=0,"",'IN (mmol|L)'!$E130)</f>
        <v/>
      </c>
      <c r="AD218" s="487" t="str">
        <f t="shared" si="85"/>
        <v/>
      </c>
    </row>
    <row r="219" spans="28:56">
      <c r="AB219" s="1246" t="str">
        <f>IF('IN (mmol|L)'!$E130=0,"",'IN (mmol|L)'!$E130)</f>
        <v/>
      </c>
      <c r="AC219" s="1246" t="str">
        <f>IF('IN (mmol|L)'!$E131=0,"",'IN (mmol|L)'!$E131)</f>
        <v/>
      </c>
      <c r="AD219" s="487" t="str">
        <f t="shared" si="85"/>
        <v/>
      </c>
    </row>
  </sheetData>
  <mergeCells count="101">
    <mergeCell ref="AO199:AP199"/>
    <mergeCell ref="AQ199:AR199"/>
    <mergeCell ref="AS199:AT199"/>
    <mergeCell ref="AQ207:AR207"/>
    <mergeCell ref="AQ208:AR208"/>
    <mergeCell ref="AQ200:AR200"/>
    <mergeCell ref="AQ201:AR201"/>
    <mergeCell ref="AQ209:AR209"/>
    <mergeCell ref="AS200:AT200"/>
    <mergeCell ref="AS201:AT201"/>
    <mergeCell ref="AS202:AT202"/>
    <mergeCell ref="AS203:AT203"/>
    <mergeCell ref="AS204:AT204"/>
    <mergeCell ref="AS205:AT205"/>
    <mergeCell ref="AS206:AT206"/>
    <mergeCell ref="AS207:AT207"/>
    <mergeCell ref="AS208:AT208"/>
    <mergeCell ref="AS209:AT209"/>
    <mergeCell ref="AQ202:AR202"/>
    <mergeCell ref="AQ203:AR203"/>
    <mergeCell ref="AQ204:AR204"/>
    <mergeCell ref="AQ205:AR205"/>
    <mergeCell ref="AQ206:AR206"/>
    <mergeCell ref="AK211:AM211"/>
    <mergeCell ref="AO200:AP200"/>
    <mergeCell ref="AO201:AP201"/>
    <mergeCell ref="AO202:AP202"/>
    <mergeCell ref="AO203:AP203"/>
    <mergeCell ref="AO204:AP204"/>
    <mergeCell ref="AO205:AP205"/>
    <mergeCell ref="AO206:AP206"/>
    <mergeCell ref="AO207:AP207"/>
    <mergeCell ref="AO208:AP208"/>
    <mergeCell ref="AO209:AP209"/>
    <mergeCell ref="I26:I28"/>
    <mergeCell ref="B134:C134"/>
    <mergeCell ref="AN136:AO136"/>
    <mergeCell ref="AP136:AQ136"/>
    <mergeCell ref="AR136:AS136"/>
    <mergeCell ref="AD136:AE136"/>
    <mergeCell ref="AF136:AG136"/>
    <mergeCell ref="H30:J30"/>
    <mergeCell ref="AN139:AO139"/>
    <mergeCell ref="AP139:AQ139"/>
    <mergeCell ref="AL136:AM136"/>
    <mergeCell ref="AJ136:AK136"/>
    <mergeCell ref="AH136:AI136"/>
    <mergeCell ref="AB137:AC137"/>
    <mergeCell ref="BD2:BE2"/>
    <mergeCell ref="AV136:AW136"/>
    <mergeCell ref="AX136:AY136"/>
    <mergeCell ref="AX142:AY142"/>
    <mergeCell ref="AJ142:AK142"/>
    <mergeCell ref="AL142:AM142"/>
    <mergeCell ref="AN142:AO142"/>
    <mergeCell ref="AP142:AQ142"/>
    <mergeCell ref="AR139:AS139"/>
    <mergeCell ref="AT139:AU139"/>
    <mergeCell ref="AV139:AW139"/>
    <mergeCell ref="AX139:AY139"/>
    <mergeCell ref="AV141:AW141"/>
    <mergeCell ref="AV142:AW142"/>
    <mergeCell ref="AT136:AU136"/>
    <mergeCell ref="AT142:AU142"/>
    <mergeCell ref="AN143:AO143"/>
    <mergeCell ref="AP143:AQ143"/>
    <mergeCell ref="AT143:AU143"/>
    <mergeCell ref="AF141:AG141"/>
    <mergeCell ref="AH141:AI141"/>
    <mergeCell ref="AX141:AY141"/>
    <mergeCell ref="AL141:AM141"/>
    <mergeCell ref="AN141:AO141"/>
    <mergeCell ref="AP141:AQ141"/>
    <mergeCell ref="AR141:AS141"/>
    <mergeCell ref="AT141:AU141"/>
    <mergeCell ref="AV143:AW143"/>
    <mergeCell ref="AX143:AY143"/>
    <mergeCell ref="V142:Z142"/>
    <mergeCell ref="AG147:AJ147"/>
    <mergeCell ref="AR142:AS142"/>
    <mergeCell ref="AL139:AM139"/>
    <mergeCell ref="AB150:AC150"/>
    <mergeCell ref="AB142:AC142"/>
    <mergeCell ref="AB149:AC149"/>
    <mergeCell ref="AB143:AC143"/>
    <mergeCell ref="AD142:AE142"/>
    <mergeCell ref="AD139:AE139"/>
    <mergeCell ref="AF139:AG139"/>
    <mergeCell ref="AH139:AI139"/>
    <mergeCell ref="AD141:AE141"/>
    <mergeCell ref="AJ141:AK141"/>
    <mergeCell ref="AJ139:AK139"/>
    <mergeCell ref="AB141:AC141"/>
    <mergeCell ref="AF142:AG142"/>
    <mergeCell ref="AH142:AI142"/>
    <mergeCell ref="AD143:AE143"/>
    <mergeCell ref="AF143:AG143"/>
    <mergeCell ref="AH143:AI143"/>
    <mergeCell ref="AR143:AS143"/>
    <mergeCell ref="AJ143:AK143"/>
    <mergeCell ref="AL143:AM143"/>
  </mergeCells>
  <pageMargins left="0.78740157499999996" right="0.78740157499999996" top="0.984251969" bottom="0.984251969" header="0.4921259845" footer="0.4921259845"/>
  <pageSetup paperSize="9" orientation="portrait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12</vt:i4>
      </vt:variant>
      <vt:variant>
        <vt:lpstr>Diagramme</vt:lpstr>
      </vt:variant>
      <vt:variant>
        <vt:i4>1</vt:i4>
      </vt:variant>
    </vt:vector>
  </HeadingPairs>
  <TitlesOfParts>
    <vt:vector size="13" baseType="lpstr">
      <vt:lpstr>Tipps</vt:lpstr>
      <vt:lpstr>IN (mmol|L)</vt:lpstr>
      <vt:lpstr>I.17</vt:lpstr>
      <vt:lpstr>II.17</vt:lpstr>
      <vt:lpstr>III.17</vt:lpstr>
      <vt:lpstr>IV.17</vt:lpstr>
      <vt:lpstr>Zwischendurch</vt:lpstr>
      <vt:lpstr>hjt-pp</vt:lpstr>
      <vt:lpstr>Verteilung</vt:lpstr>
      <vt:lpstr>Leerseite</vt:lpstr>
      <vt:lpstr>(intern)</vt:lpstr>
      <vt:lpstr>(intern2)</vt:lpstr>
      <vt:lpstr>Langzeit-Verlauf</vt:lpstr>
    </vt:vector>
  </TitlesOfParts>
  <Company>privat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Gyuris Blutzucker</dc:title>
  <dc:creator>Georg Hechinger</dc:creator>
  <cp:lastModifiedBy>Gyuri</cp:lastModifiedBy>
  <cp:lastPrinted>2016-01-05T18:27:30Z</cp:lastPrinted>
  <dcterms:created xsi:type="dcterms:W3CDTF">2003-02-28T17:12:25Z</dcterms:created>
  <dcterms:modified xsi:type="dcterms:W3CDTF">2016-08-22T07:54:16Z</dcterms:modified>
</cp:coreProperties>
</file>